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 firstSheet="7" activeTab="7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r:id="rId8"/>
  </sheets>
  <externalReferences>
    <externalReference r:id="rId9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" i="7"/>
  <c r="X22"/>
  <c r="N23"/>
  <c r="N22"/>
  <c r="H38" l="1"/>
  <c r="I38" s="1"/>
  <c r="F38"/>
  <c r="G38"/>
  <c r="E21" i="1"/>
  <c r="E29" s="1"/>
  <c r="F28" i="7"/>
  <c r="M50" i="4"/>
  <c r="M49"/>
  <c r="M48"/>
  <c r="M39"/>
  <c r="M41"/>
  <c r="G34" i="5"/>
  <c r="G58" s="1"/>
  <c r="L11"/>
  <c r="J11"/>
  <c r="G31" i="1"/>
  <c r="K13"/>
  <c r="G82" i="5" l="1"/>
  <c r="I58"/>
  <c r="K58" s="1"/>
  <c r="I34"/>
  <c r="K34" s="1"/>
  <c r="L17" i="6"/>
  <c r="G106" i="5" l="1"/>
  <c r="I82"/>
  <c r="K82" s="1"/>
  <c r="K23" i="1"/>
  <c r="J27" s="1"/>
  <c r="F15" i="3" s="1"/>
  <c r="G130" i="5" l="1"/>
  <c r="I130" s="1"/>
  <c r="I106"/>
  <c r="K106" s="1"/>
  <c r="G21" i="2"/>
  <c r="G15"/>
  <c r="G22" s="1"/>
  <c r="Z27" i="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S21"/>
  <c r="L19" i="6"/>
  <c r="L16"/>
  <c r="L20" l="1"/>
  <c r="AL22" i="7"/>
  <c r="AK22"/>
  <c r="AJ22"/>
  <c r="AI22"/>
  <c r="AC22"/>
  <c r="AB22"/>
  <c r="AA22"/>
  <c r="Z22"/>
  <c r="Y22"/>
  <c r="S22"/>
  <c r="R22"/>
  <c r="Q22"/>
  <c r="P22"/>
  <c r="O22"/>
  <c r="G12" i="4"/>
  <c r="G20" l="1"/>
  <c r="G19"/>
  <c r="G22" s="1"/>
  <c r="E22" i="1"/>
  <c r="F21"/>
  <c r="F22" s="1"/>
  <c r="Z12" i="8"/>
  <c r="Y12"/>
  <c r="X12"/>
  <c r="W12"/>
  <c r="AC35" i="7"/>
  <c r="AB35"/>
  <c r="AA35"/>
  <c r="AL32"/>
  <c r="AK32"/>
  <c r="AJ32"/>
  <c r="AI32"/>
  <c r="AC32"/>
  <c r="AB32"/>
  <c r="AA32"/>
  <c r="Z32"/>
  <c r="Y32"/>
  <c r="S32"/>
  <c r="R32"/>
  <c r="Q32"/>
  <c r="P32"/>
  <c r="O32"/>
  <c r="AL30"/>
  <c r="AK30"/>
  <c r="AJ30"/>
  <c r="AI30"/>
  <c r="AC30"/>
  <c r="AB30"/>
  <c r="AA30"/>
  <c r="Z30"/>
  <c r="Y30"/>
  <c r="S30"/>
  <c r="R30"/>
  <c r="Q30"/>
  <c r="P30"/>
  <c r="O30"/>
  <c r="AJ27"/>
  <c r="AK27" s="1"/>
  <c r="AL27" s="1"/>
  <c r="AH27"/>
  <c r="Z27"/>
  <c r="AA27" s="1"/>
  <c r="AB27" s="1"/>
  <c r="X27"/>
  <c r="P27"/>
  <c r="Q27" s="1"/>
  <c r="R27" s="1"/>
  <c r="N27"/>
  <c r="H27"/>
  <c r="I27" s="1"/>
  <c r="AL26"/>
  <c r="AH26"/>
  <c r="AB26"/>
  <c r="X26"/>
  <c r="R26"/>
  <c r="N26"/>
  <c r="AL25"/>
  <c r="AH25"/>
  <c r="AB25"/>
  <c r="X25"/>
  <c r="R25"/>
  <c r="N25"/>
  <c r="O23"/>
  <c r="P23" s="1"/>
  <c r="N21"/>
  <c r="J145" i="5"/>
  <c r="H145"/>
  <c r="J144"/>
  <c r="H144"/>
  <c r="J143"/>
  <c r="H143"/>
  <c r="J140"/>
  <c r="H140"/>
  <c r="J137"/>
  <c r="H137"/>
  <c r="J136"/>
  <c r="H136"/>
  <c r="J132"/>
  <c r="H132"/>
  <c r="H131" s="1"/>
  <c r="L121"/>
  <c r="J121"/>
  <c r="H121"/>
  <c r="L120"/>
  <c r="J120"/>
  <c r="H120"/>
  <c r="L119"/>
  <c r="J119"/>
  <c r="H119"/>
  <c r="L116"/>
  <c r="J116"/>
  <c r="H116"/>
  <c r="L113"/>
  <c r="J113"/>
  <c r="H113"/>
  <c r="L112"/>
  <c r="J112"/>
  <c r="H112"/>
  <c r="L108"/>
  <c r="J108"/>
  <c r="H108"/>
  <c r="L97"/>
  <c r="J97"/>
  <c r="H97"/>
  <c r="L96"/>
  <c r="J96"/>
  <c r="H96"/>
  <c r="L95"/>
  <c r="J95"/>
  <c r="H95"/>
  <c r="L92"/>
  <c r="J92"/>
  <c r="H92"/>
  <c r="L89"/>
  <c r="J89"/>
  <c r="H89"/>
  <c r="L88"/>
  <c r="J88"/>
  <c r="H88"/>
  <c r="L84"/>
  <c r="J84"/>
  <c r="H84"/>
  <c r="L73"/>
  <c r="J73"/>
  <c r="H73"/>
  <c r="L72"/>
  <c r="J72"/>
  <c r="H72"/>
  <c r="L71"/>
  <c r="J71"/>
  <c r="H71"/>
  <c r="L68"/>
  <c r="J68"/>
  <c r="H68"/>
  <c r="L65"/>
  <c r="J65"/>
  <c r="H65"/>
  <c r="L64"/>
  <c r="J64"/>
  <c r="H64"/>
  <c r="L60"/>
  <c r="J60"/>
  <c r="H60"/>
  <c r="L49"/>
  <c r="J49"/>
  <c r="H49"/>
  <c r="L48"/>
  <c r="J48"/>
  <c r="H48"/>
  <c r="L47"/>
  <c r="J47"/>
  <c r="H47"/>
  <c r="L44"/>
  <c r="J44"/>
  <c r="H44"/>
  <c r="L41"/>
  <c r="J41"/>
  <c r="H41"/>
  <c r="L40"/>
  <c r="J40"/>
  <c r="H40"/>
  <c r="L36"/>
  <c r="J36"/>
  <c r="H36"/>
  <c r="M26"/>
  <c r="K26"/>
  <c r="I26"/>
  <c r="M25"/>
  <c r="K25"/>
  <c r="I25"/>
  <c r="M24"/>
  <c r="K24"/>
  <c r="I24"/>
  <c r="M21"/>
  <c r="K21"/>
  <c r="I21"/>
  <c r="M18"/>
  <c r="K18"/>
  <c r="I18"/>
  <c r="M17"/>
  <c r="K17"/>
  <c r="I17"/>
  <c r="M13"/>
  <c r="K13"/>
  <c r="I13"/>
  <c r="K50" i="4"/>
  <c r="I50"/>
  <c r="K49"/>
  <c r="I49"/>
  <c r="K48"/>
  <c r="I48"/>
  <c r="K45"/>
  <c r="I45"/>
  <c r="M45" s="1"/>
  <c r="K42"/>
  <c r="I42"/>
  <c r="M42" s="1"/>
  <c r="K41"/>
  <c r="I41"/>
  <c r="K39"/>
  <c r="I39"/>
  <c r="I29"/>
  <c r="I28"/>
  <c r="I27"/>
  <c r="I25"/>
  <c r="I24"/>
  <c r="I23"/>
  <c r="I21"/>
  <c r="I20"/>
  <c r="I19"/>
  <c r="I16"/>
  <c r="I15"/>
  <c r="I14"/>
  <c r="I12"/>
  <c r="I10"/>
  <c r="F25" i="7" s="1"/>
  <c r="E12" i="1"/>
  <c r="F11"/>
  <c r="F12" s="1"/>
  <c r="J107" i="5" l="1"/>
  <c r="I11" i="4"/>
  <c r="F26" i="7" s="1"/>
  <c r="J10" i="8"/>
  <c r="J16" s="1"/>
  <c r="N36" i="7"/>
  <c r="J131" i="5"/>
  <c r="G26" i="4"/>
  <c r="I22"/>
  <c r="G11" i="1"/>
  <c r="G21"/>
  <c r="H35" i="5"/>
  <c r="L35"/>
  <c r="O21" i="7"/>
  <c r="Q23"/>
  <c r="R23" s="1"/>
  <c r="P21"/>
  <c r="I12" i="5"/>
  <c r="M12"/>
  <c r="J35"/>
  <c r="J59"/>
  <c r="K12"/>
  <c r="H83"/>
  <c r="L83"/>
  <c r="H59"/>
  <c r="J83"/>
  <c r="L59"/>
  <c r="H107"/>
  <c r="L107"/>
  <c r="L10" i="8" l="1"/>
  <c r="P36" i="7"/>
  <c r="K10" i="8"/>
  <c r="O36" i="7"/>
  <c r="Q21"/>
  <c r="G30" i="4"/>
  <c r="I26"/>
  <c r="G12" i="1"/>
  <c r="H11"/>
  <c r="G22"/>
  <c r="H21"/>
  <c r="S23" i="7"/>
  <c r="X23" s="1"/>
  <c r="R21"/>
  <c r="F19" i="6"/>
  <c r="F13"/>
  <c r="F12"/>
  <c r="N10" i="8" l="1"/>
  <c r="R36" i="7"/>
  <c r="M10" i="8"/>
  <c r="Q36" i="7"/>
  <c r="K16" i="8"/>
  <c r="K15"/>
  <c r="L16"/>
  <c r="L15"/>
  <c r="I30" i="4"/>
  <c r="I17" s="1"/>
  <c r="G38"/>
  <c r="H12" i="1"/>
  <c r="I11"/>
  <c r="H22"/>
  <c r="I21"/>
  <c r="Y23" i="7"/>
  <c r="Y21" s="1"/>
  <c r="S21"/>
  <c r="Z23"/>
  <c r="X21"/>
  <c r="G11" i="5" l="1"/>
  <c r="K11" s="1"/>
  <c r="K10" s="1"/>
  <c r="M38" i="4"/>
  <c r="I31"/>
  <c r="H8" i="6" s="1"/>
  <c r="F27" i="7"/>
  <c r="F24" s="1"/>
  <c r="Q10" i="8"/>
  <c r="Y36" i="7"/>
  <c r="M16" i="8"/>
  <c r="M15"/>
  <c r="P10"/>
  <c r="X36" i="7"/>
  <c r="O10" i="8"/>
  <c r="S36" i="7"/>
  <c r="N16" i="8"/>
  <c r="N15"/>
  <c r="K38" i="4"/>
  <c r="G40"/>
  <c r="M40" s="1"/>
  <c r="I38"/>
  <c r="I12" i="1"/>
  <c r="J11"/>
  <c r="I22"/>
  <c r="J21"/>
  <c r="AA23" i="7"/>
  <c r="Z21"/>
  <c r="I11" i="5" l="1"/>
  <c r="I10" s="1"/>
  <c r="G16"/>
  <c r="M16" s="1"/>
  <c r="M15" s="1"/>
  <c r="M11"/>
  <c r="M10" s="1"/>
  <c r="G20"/>
  <c r="I16"/>
  <c r="I15" s="1"/>
  <c r="H16" i="6"/>
  <c r="H19"/>
  <c r="F18" i="8"/>
  <c r="R10"/>
  <c r="Z36" i="7"/>
  <c r="O16" i="8"/>
  <c r="O15"/>
  <c r="Q16"/>
  <c r="Q15"/>
  <c r="P16"/>
  <c r="P15"/>
  <c r="G44" i="4"/>
  <c r="M44" s="1"/>
  <c r="I40"/>
  <c r="M37" s="1"/>
  <c r="I29" i="7" s="1"/>
  <c r="K40" i="4"/>
  <c r="I37"/>
  <c r="G29" i="7" s="1"/>
  <c r="K37" i="4"/>
  <c r="H29" i="7" s="1"/>
  <c r="J12" i="1"/>
  <c r="K11"/>
  <c r="K12" s="1"/>
  <c r="K29"/>
  <c r="J22"/>
  <c r="K21"/>
  <c r="AB23" i="7"/>
  <c r="AA21"/>
  <c r="K16" i="5" l="1"/>
  <c r="K15" s="1"/>
  <c r="P29" i="7"/>
  <c r="G23" i="5"/>
  <c r="M20"/>
  <c r="M19" s="1"/>
  <c r="P33" i="7" s="1"/>
  <c r="I20" i="5"/>
  <c r="I19" s="1"/>
  <c r="N33" i="7" s="1"/>
  <c r="K20" i="5"/>
  <c r="K19" s="1"/>
  <c r="O33" i="7" s="1"/>
  <c r="N29"/>
  <c r="O29"/>
  <c r="F9"/>
  <c r="F10" s="1"/>
  <c r="F11" i="8"/>
  <c r="F14"/>
  <c r="K22" i="1"/>
  <c r="S10" i="8"/>
  <c r="AA36" i="7"/>
  <c r="R15" i="8"/>
  <c r="R16"/>
  <c r="I44" i="4"/>
  <c r="G47"/>
  <c r="M47" s="1"/>
  <c r="K44"/>
  <c r="K43" s="1"/>
  <c r="H30" i="7" s="1"/>
  <c r="AC23"/>
  <c r="AH23" s="1"/>
  <c r="AB21"/>
  <c r="F34" i="5" l="1"/>
  <c r="F39"/>
  <c r="M23"/>
  <c r="M22" s="1"/>
  <c r="I23"/>
  <c r="I22" s="1"/>
  <c r="K23"/>
  <c r="K22" s="1"/>
  <c r="I43" i="4"/>
  <c r="G30" i="7" s="1"/>
  <c r="M43" i="4"/>
  <c r="I30" i="7" s="1"/>
  <c r="M14" i="5"/>
  <c r="F19" i="8"/>
  <c r="F23" s="1"/>
  <c r="F24" s="1"/>
  <c r="F26" s="1"/>
  <c r="F28" s="1"/>
  <c r="F29" s="1"/>
  <c r="H17" i="6"/>
  <c r="F11" i="7"/>
  <c r="F12" i="8"/>
  <c r="F15" s="1"/>
  <c r="F29" i="1"/>
  <c r="E30"/>
  <c r="T10" i="8"/>
  <c r="AB36" i="7"/>
  <c r="S16" i="8"/>
  <c r="S15"/>
  <c r="G52" i="4"/>
  <c r="I47"/>
  <c r="K47"/>
  <c r="K46" s="1"/>
  <c r="H31" i="7" s="1"/>
  <c r="AC21"/>
  <c r="F25" i="8" l="1"/>
  <c r="O31" i="7"/>
  <c r="K27" i="5"/>
  <c r="K14"/>
  <c r="P31" i="7"/>
  <c r="M27" i="5"/>
  <c r="L34"/>
  <c r="L33" s="1"/>
  <c r="H34"/>
  <c r="H33" s="1"/>
  <c r="J34"/>
  <c r="J33" s="1"/>
  <c r="I46" i="4"/>
  <c r="G31" i="7" s="1"/>
  <c r="M46" i="4"/>
  <c r="I31" i="7" s="1"/>
  <c r="I27" i="5"/>
  <c r="L7" i="6" s="1"/>
  <c r="M7" s="1"/>
  <c r="N31" i="7"/>
  <c r="I14" i="5"/>
  <c r="F43"/>
  <c r="L39"/>
  <c r="L38" s="1"/>
  <c r="H39"/>
  <c r="H38" s="1"/>
  <c r="J39"/>
  <c r="J38" s="1"/>
  <c r="H18" i="6"/>
  <c r="H20" s="1"/>
  <c r="F30" i="1"/>
  <c r="G29"/>
  <c r="G30" s="1"/>
  <c r="T15" i="8"/>
  <c r="T16"/>
  <c r="U10"/>
  <c r="AC36" i="7"/>
  <c r="I52" i="4"/>
  <c r="M52" s="1"/>
  <c r="G53"/>
  <c r="K52"/>
  <c r="AI23" i="7"/>
  <c r="AH21"/>
  <c r="O28" l="1"/>
  <c r="O24" s="1"/>
  <c r="N28"/>
  <c r="N24" s="1"/>
  <c r="P28"/>
  <c r="P24" s="1"/>
  <c r="Q29"/>
  <c r="F46" i="5"/>
  <c r="J43"/>
  <c r="J42" s="1"/>
  <c r="R33" i="7" s="1"/>
  <c r="L43" i="5"/>
  <c r="L42" s="1"/>
  <c r="S33" i="7" s="1"/>
  <c r="H43" i="5"/>
  <c r="H42" s="1"/>
  <c r="Q33" i="7" s="1"/>
  <c r="R29"/>
  <c r="S29"/>
  <c r="N7" i="6"/>
  <c r="V10" i="8"/>
  <c r="AH36" i="7"/>
  <c r="U16" i="8"/>
  <c r="U15"/>
  <c r="G54" i="4"/>
  <c r="I53"/>
  <c r="M53" s="1"/>
  <c r="K53"/>
  <c r="AJ23" i="7"/>
  <c r="AI21"/>
  <c r="J20" i="8" l="1"/>
  <c r="J24" s="1"/>
  <c r="J26" s="1"/>
  <c r="J28" s="1"/>
  <c r="N34" i="7"/>
  <c r="P34"/>
  <c r="L20" i="8"/>
  <c r="L24" s="1"/>
  <c r="L26" s="1"/>
  <c r="L28" s="1"/>
  <c r="K20"/>
  <c r="K24" s="1"/>
  <c r="K26" s="1"/>
  <c r="K28" s="1"/>
  <c r="O34" i="7"/>
  <c r="F58" i="5"/>
  <c r="J46"/>
  <c r="J45" s="1"/>
  <c r="L46"/>
  <c r="L45" s="1"/>
  <c r="H46"/>
  <c r="H45" s="1"/>
  <c r="H37" s="1"/>
  <c r="L13" i="6"/>
  <c r="L12"/>
  <c r="V16" i="8"/>
  <c r="V15"/>
  <c r="W10"/>
  <c r="AI36" i="7"/>
  <c r="I54" i="4"/>
  <c r="K54"/>
  <c r="K51" s="1"/>
  <c r="AK23" i="7"/>
  <c r="AJ21"/>
  <c r="I51" i="4" l="1"/>
  <c r="M54"/>
  <c r="M51" s="1"/>
  <c r="M13" i="6"/>
  <c r="L14"/>
  <c r="S31" i="7"/>
  <c r="L50" i="5"/>
  <c r="L37"/>
  <c r="F63"/>
  <c r="J58"/>
  <c r="J57" s="1"/>
  <c r="L58"/>
  <c r="L57" s="1"/>
  <c r="H58"/>
  <c r="H57" s="1"/>
  <c r="J13" i="8"/>
  <c r="M12" i="6"/>
  <c r="N12" s="1"/>
  <c r="Q31" i="7"/>
  <c r="H50" i="5"/>
  <c r="R31" i="7"/>
  <c r="J50" i="5"/>
  <c r="J37"/>
  <c r="I55" i="4"/>
  <c r="I8" i="6" s="1"/>
  <c r="G32" i="7"/>
  <c r="G28" s="1"/>
  <c r="G24" s="1"/>
  <c r="K55" i="4"/>
  <c r="H32" i="7"/>
  <c r="H28" s="1"/>
  <c r="H24" s="1"/>
  <c r="W16" i="8"/>
  <c r="W15"/>
  <c r="X10"/>
  <c r="AJ36" i="7"/>
  <c r="AL23"/>
  <c r="AK21"/>
  <c r="M55" i="4" l="1"/>
  <c r="K8" i="6" s="1"/>
  <c r="I32" i="7"/>
  <c r="I28" s="1"/>
  <c r="I24" s="1"/>
  <c r="R28"/>
  <c r="R24" s="1"/>
  <c r="Q28"/>
  <c r="Q24" s="1"/>
  <c r="S28"/>
  <c r="S24" s="1"/>
  <c r="N13" i="6"/>
  <c r="N14" s="1"/>
  <c r="J14" i="8"/>
  <c r="J15" s="1"/>
  <c r="M14" i="6"/>
  <c r="F67" i="5"/>
  <c r="J63"/>
  <c r="J62" s="1"/>
  <c r="L63"/>
  <c r="L62" s="1"/>
  <c r="H63"/>
  <c r="H62" s="1"/>
  <c r="J8" i="6"/>
  <c r="H11" i="8"/>
  <c r="I19" i="6"/>
  <c r="G18" i="8"/>
  <c r="I16" i="6"/>
  <c r="Y10" i="8"/>
  <c r="AK36" i="7"/>
  <c r="X16" i="8"/>
  <c r="X15"/>
  <c r="AL21" i="7"/>
  <c r="M8" i="6" l="1"/>
  <c r="N8" s="1"/>
  <c r="N9" s="1"/>
  <c r="K19"/>
  <c r="I14" i="8" s="1"/>
  <c r="I18"/>
  <c r="K16" i="6"/>
  <c r="I9" i="7" s="1"/>
  <c r="M20" i="8"/>
  <c r="M24" s="1"/>
  <c r="M26" s="1"/>
  <c r="M28" s="1"/>
  <c r="Q34" i="7"/>
  <c r="O20" i="8"/>
  <c r="O24" s="1"/>
  <c r="O26" s="1"/>
  <c r="O28" s="1"/>
  <c r="S34" i="7"/>
  <c r="N20" i="8"/>
  <c r="N24" s="1"/>
  <c r="N26" s="1"/>
  <c r="N28" s="1"/>
  <c r="R34" i="7"/>
  <c r="Z29"/>
  <c r="F70" i="5"/>
  <c r="L67"/>
  <c r="L66" s="1"/>
  <c r="Z33" i="7" s="1"/>
  <c r="H67" i="5"/>
  <c r="H66" s="1"/>
  <c r="X33" i="7" s="1"/>
  <c r="J67" i="5"/>
  <c r="J66" s="1"/>
  <c r="Y33" i="7" s="1"/>
  <c r="X29"/>
  <c r="Y29"/>
  <c r="G11" i="8"/>
  <c r="G9" i="7"/>
  <c r="G10" s="1"/>
  <c r="G14" i="8"/>
  <c r="J19" i="6"/>
  <c r="H14" i="8" s="1"/>
  <c r="H18"/>
  <c r="J16" i="6"/>
  <c r="H9" i="7" s="1"/>
  <c r="Y16" i="8"/>
  <c r="Y15"/>
  <c r="Z10"/>
  <c r="AL36" i="7"/>
  <c r="F82" i="5" l="1"/>
  <c r="L70"/>
  <c r="L69" s="1"/>
  <c r="L61" s="1"/>
  <c r="H70"/>
  <c r="H69" s="1"/>
  <c r="J70"/>
  <c r="J69" s="1"/>
  <c r="M19" i="6"/>
  <c r="M16"/>
  <c r="N16" s="1"/>
  <c r="N19"/>
  <c r="I17"/>
  <c r="G12" i="8"/>
  <c r="G15" s="1"/>
  <c r="G19"/>
  <c r="G23" s="1"/>
  <c r="G24" s="1"/>
  <c r="G26" s="1"/>
  <c r="G28" s="1"/>
  <c r="G29" s="1"/>
  <c r="G11" i="7"/>
  <c r="Z16" i="8"/>
  <c r="Z15"/>
  <c r="X31" i="7" l="1"/>
  <c r="H74" i="5"/>
  <c r="H61"/>
  <c r="F87"/>
  <c r="L82"/>
  <c r="L81" s="1"/>
  <c r="H82"/>
  <c r="H81" s="1"/>
  <c r="J82"/>
  <c r="J81" s="1"/>
  <c r="Y31" i="7"/>
  <c r="J74" i="5"/>
  <c r="Z31" i="7"/>
  <c r="L74" i="5"/>
  <c r="J61"/>
  <c r="M20" i="6"/>
  <c r="I18"/>
  <c r="I20" s="1"/>
  <c r="H10" i="7"/>
  <c r="H19" i="8" s="1"/>
  <c r="H23" s="1"/>
  <c r="H24" s="1"/>
  <c r="H26" s="1"/>
  <c r="H28" s="1"/>
  <c r="H29" s="1"/>
  <c r="G25"/>
  <c r="Z28" i="7" l="1"/>
  <c r="Z24" s="1"/>
  <c r="Y28"/>
  <c r="Y24" s="1"/>
  <c r="X28"/>
  <c r="X24" s="1"/>
  <c r="F91" i="5"/>
  <c r="L87"/>
  <c r="L86" s="1"/>
  <c r="H87"/>
  <c r="H86" s="1"/>
  <c r="J87"/>
  <c r="J86" s="1"/>
  <c r="H11" i="7"/>
  <c r="I10" s="1"/>
  <c r="I11" i="8" s="1"/>
  <c r="J17" i="6"/>
  <c r="H12" i="8"/>
  <c r="H15" s="1"/>
  <c r="H25" s="1"/>
  <c r="Q20" l="1"/>
  <c r="Q24" s="1"/>
  <c r="Q26" s="1"/>
  <c r="Q28" s="1"/>
  <c r="Y34" i="7"/>
  <c r="P20" i="8"/>
  <c r="P24" s="1"/>
  <c r="P26" s="1"/>
  <c r="P28" s="1"/>
  <c r="X34" i="7"/>
  <c r="R20" i="8"/>
  <c r="R24" s="1"/>
  <c r="R26" s="1"/>
  <c r="R28" s="1"/>
  <c r="Z34" i="7"/>
  <c r="AB29"/>
  <c r="AC29"/>
  <c r="AA29"/>
  <c r="F94" i="5"/>
  <c r="J91"/>
  <c r="J90" s="1"/>
  <c r="AB33" i="7" s="1"/>
  <c r="L91" i="5"/>
  <c r="L90" s="1"/>
  <c r="AC33" i="7" s="1"/>
  <c r="H91" i="5"/>
  <c r="H90" s="1"/>
  <c r="AA33" i="7" s="1"/>
  <c r="I12" i="8"/>
  <c r="I15" s="1"/>
  <c r="K17" i="6"/>
  <c r="K18" s="1"/>
  <c r="K20" s="1"/>
  <c r="J18"/>
  <c r="J20" s="1"/>
  <c r="I11" i="7"/>
  <c r="N11" s="1"/>
  <c r="I19" i="8"/>
  <c r="I23" s="1"/>
  <c r="M17" i="6" l="1"/>
  <c r="F106" i="5"/>
  <c r="J94"/>
  <c r="J93" s="1"/>
  <c r="L94"/>
  <c r="L93" s="1"/>
  <c r="H94"/>
  <c r="H93" s="1"/>
  <c r="I24" i="8"/>
  <c r="I26" s="1"/>
  <c r="I28" s="1"/>
  <c r="I29" s="1"/>
  <c r="J29" s="1"/>
  <c r="I25"/>
  <c r="N17" i="6"/>
  <c r="N18" s="1"/>
  <c r="N20" s="1"/>
  <c r="M18"/>
  <c r="AC31" i="7" l="1"/>
  <c r="L98" i="5"/>
  <c r="F111"/>
  <c r="J106"/>
  <c r="J105" s="1"/>
  <c r="L106"/>
  <c r="L105" s="1"/>
  <c r="H106"/>
  <c r="H105" s="1"/>
  <c r="L85"/>
  <c r="AA31" i="7"/>
  <c r="H98" i="5"/>
  <c r="AB31" i="7"/>
  <c r="J98" i="5"/>
  <c r="J85"/>
  <c r="H85"/>
  <c r="AB28" i="7" l="1"/>
  <c r="AB24" s="1"/>
  <c r="AA28"/>
  <c r="AA24" s="1"/>
  <c r="AC28"/>
  <c r="AC24" s="1"/>
  <c r="F115" i="5"/>
  <c r="J111"/>
  <c r="J110" s="1"/>
  <c r="L111"/>
  <c r="L110" s="1"/>
  <c r="H111"/>
  <c r="H110" s="1"/>
  <c r="S20" i="8" l="1"/>
  <c r="AA34" i="7"/>
  <c r="AA37" s="1"/>
  <c r="AA39" s="1"/>
  <c r="U20" i="8"/>
  <c r="U23" s="1"/>
  <c r="U25" s="1"/>
  <c r="AC34" i="7"/>
  <c r="AC37" s="1"/>
  <c r="AC39" s="1"/>
  <c r="T20" i="8"/>
  <c r="AB34" i="7"/>
  <c r="AB37" s="1"/>
  <c r="AB39" s="1"/>
  <c r="AH29"/>
  <c r="AI29"/>
  <c r="U24" i="8"/>
  <c r="U26" s="1"/>
  <c r="U28" s="1"/>
  <c r="AJ29" i="7"/>
  <c r="F118" i="5"/>
  <c r="L115"/>
  <c r="L114" s="1"/>
  <c r="AJ33" i="7" s="1"/>
  <c r="H115" i="5"/>
  <c r="H114" s="1"/>
  <c r="AH33" i="7" s="1"/>
  <c r="J115" i="5"/>
  <c r="J114" s="1"/>
  <c r="AI33" i="7" s="1"/>
  <c r="S23" i="8"/>
  <c r="S25" s="1"/>
  <c r="S24"/>
  <c r="S26" s="1"/>
  <c r="S28" s="1"/>
  <c r="T24"/>
  <c r="T26" s="1"/>
  <c r="T28" s="1"/>
  <c r="T23"/>
  <c r="T25" s="1"/>
  <c r="N14" i="7"/>
  <c r="N13"/>
  <c r="K29" i="8"/>
  <c r="L29" s="1"/>
  <c r="M29" s="1"/>
  <c r="N29" s="1"/>
  <c r="O29" s="1"/>
  <c r="P29" s="1"/>
  <c r="Q29" s="1"/>
  <c r="R29" s="1"/>
  <c r="S29" l="1"/>
  <c r="T29" s="1"/>
  <c r="U29" s="1"/>
  <c r="F130" i="5"/>
  <c r="L118"/>
  <c r="L117" s="1"/>
  <c r="H118"/>
  <c r="H117" s="1"/>
  <c r="J118"/>
  <c r="J117" s="1"/>
  <c r="J21" i="8"/>
  <c r="O13" i="7"/>
  <c r="O11"/>
  <c r="J22" i="8"/>
  <c r="N15" i="7"/>
  <c r="N35"/>
  <c r="N37" s="1"/>
  <c r="N39" l="1"/>
  <c r="N38"/>
  <c r="J23" i="8"/>
  <c r="J25" s="1"/>
  <c r="AI31" i="7"/>
  <c r="J122" i="5"/>
  <c r="AJ31" i="7"/>
  <c r="L122" i="5"/>
  <c r="L109"/>
  <c r="J109"/>
  <c r="AH31" i="7"/>
  <c r="H122" i="5"/>
  <c r="F135"/>
  <c r="H130"/>
  <c r="H129" s="1"/>
  <c r="J130"/>
  <c r="J129" s="1"/>
  <c r="H109"/>
  <c r="O14" i="7"/>
  <c r="P11"/>
  <c r="P13"/>
  <c r="K21" i="8"/>
  <c r="AH28" i="7" l="1"/>
  <c r="AH24" s="1"/>
  <c r="AJ28"/>
  <c r="AJ24" s="1"/>
  <c r="AI28"/>
  <c r="AI24" s="1"/>
  <c r="F139" i="5"/>
  <c r="J135"/>
  <c r="J134" s="1"/>
  <c r="H135"/>
  <c r="H134" s="1"/>
  <c r="P14" i="7"/>
  <c r="Q11"/>
  <c r="L21" i="8"/>
  <c r="Q13" i="7"/>
  <c r="K22" i="8"/>
  <c r="K23" s="1"/>
  <c r="O35" i="7"/>
  <c r="O37" s="1"/>
  <c r="O15"/>
  <c r="O39" l="1"/>
  <c r="O38"/>
  <c r="AJ34"/>
  <c r="AJ37" s="1"/>
  <c r="X20" i="8"/>
  <c r="X24" s="1"/>
  <c r="X26" s="1"/>
  <c r="X28" s="1"/>
  <c r="AI34" i="7"/>
  <c r="AI37" s="1"/>
  <c r="W20" i="8"/>
  <c r="W23" s="1"/>
  <c r="W25" s="1"/>
  <c r="AH34" i="7"/>
  <c r="AH37" s="1"/>
  <c r="AH39" s="1"/>
  <c r="V20" i="8"/>
  <c r="V24" s="1"/>
  <c r="V26" s="1"/>
  <c r="K25"/>
  <c r="W24"/>
  <c r="W26" s="1"/>
  <c r="W28" s="1"/>
  <c r="AL29" i="7"/>
  <c r="AK29"/>
  <c r="F142" i="5"/>
  <c r="H139"/>
  <c r="H138" s="1"/>
  <c r="AK33" i="7" s="1"/>
  <c r="J139" i="5"/>
  <c r="J138" s="1"/>
  <c r="AL33" i="7" s="1"/>
  <c r="M21" i="8"/>
  <c r="R13" i="7"/>
  <c r="Q14"/>
  <c r="R11"/>
  <c r="L22" i="8"/>
  <c r="L23" s="1"/>
  <c r="P15" i="7"/>
  <c r="P35"/>
  <c r="P37" s="1"/>
  <c r="P39" s="1"/>
  <c r="V23" i="8" l="1"/>
  <c r="V25" s="1"/>
  <c r="X23"/>
  <c r="X25" s="1"/>
  <c r="P38" i="7"/>
  <c r="AI39"/>
  <c r="AJ39"/>
  <c r="L25" i="8"/>
  <c r="V28"/>
  <c r="V29" s="1"/>
  <c r="W29" s="1"/>
  <c r="X29" s="1"/>
  <c r="H142" i="5"/>
  <c r="H141" s="1"/>
  <c r="J142"/>
  <c r="J141" s="1"/>
  <c r="J133" s="1"/>
  <c r="R14" i="7"/>
  <c r="S11"/>
  <c r="N21" i="8"/>
  <c r="S13" i="7"/>
  <c r="M22" i="8"/>
  <c r="M23" s="1"/>
  <c r="Q35" i="7"/>
  <c r="Q37" s="1"/>
  <c r="Q39" s="1"/>
  <c r="Q15"/>
  <c r="Q38" l="1"/>
  <c r="M25" i="8"/>
  <c r="AK31" i="7"/>
  <c r="H146" i="5"/>
  <c r="AL31" i="7"/>
  <c r="J146" i="5"/>
  <c r="H133"/>
  <c r="X13" i="7"/>
  <c r="X11" s="1"/>
  <c r="O21" i="8"/>
  <c r="S14" i="7"/>
  <c r="N22" i="8"/>
  <c r="N23" s="1"/>
  <c r="R35" i="7"/>
  <c r="R37" s="1"/>
  <c r="R39" s="1"/>
  <c r="R15"/>
  <c r="R38" l="1"/>
  <c r="AL28"/>
  <c r="AL24" s="1"/>
  <c r="AK28"/>
  <c r="AK24" s="1"/>
  <c r="N25" i="8"/>
  <c r="X14" i="7"/>
  <c r="Y11"/>
  <c r="O22" i="8"/>
  <c r="O23" s="1"/>
  <c r="O25" s="1"/>
  <c r="S15" i="7"/>
  <c r="S35"/>
  <c r="S37" s="1"/>
  <c r="S39" s="1"/>
  <c r="H43" s="1"/>
  <c r="P21" i="8"/>
  <c r="Y13" i="7"/>
  <c r="S38" l="1"/>
  <c r="AK34"/>
  <c r="AK37" s="1"/>
  <c r="Y20" i="8"/>
  <c r="Y23" s="1"/>
  <c r="Y25" s="1"/>
  <c r="AL34" i="7"/>
  <c r="AL37" s="1"/>
  <c r="AL39" s="1"/>
  <c r="Z20" i="8"/>
  <c r="Z23" s="1"/>
  <c r="Z24"/>
  <c r="Z26" s="1"/>
  <c r="Z28" s="1"/>
  <c r="Y14" i="7"/>
  <c r="Q21" i="8"/>
  <c r="Z13" i="7"/>
  <c r="R21" i="8" s="1"/>
  <c r="P22"/>
  <c r="P23" s="1"/>
  <c r="P25" s="1"/>
  <c r="X35" i="7"/>
  <c r="X37" s="1"/>
  <c r="X39" s="1"/>
  <c r="X15"/>
  <c r="Y24" i="8" l="1"/>
  <c r="Y26" s="1"/>
  <c r="Y28" s="1"/>
  <c r="Y29" s="1"/>
  <c r="Z29" s="1"/>
  <c r="H32" s="1"/>
  <c r="X38" i="7"/>
  <c r="AK39"/>
  <c r="H45" s="1"/>
  <c r="Z25" i="8"/>
  <c r="H33"/>
  <c r="Z11" i="7"/>
  <c r="Z14" s="1"/>
  <c r="Q22" i="8"/>
  <c r="Q23" s="1"/>
  <c r="Y15" i="7"/>
  <c r="Y35"/>
  <c r="Y37" s="1"/>
  <c r="Y39" s="1"/>
  <c r="Y38" l="1"/>
  <c r="Q25" i="8"/>
  <c r="R22"/>
  <c r="R23" s="1"/>
  <c r="R25" s="1"/>
  <c r="Z15" i="7"/>
  <c r="Z35"/>
  <c r="Z37" s="1"/>
  <c r="Z39" s="1"/>
  <c r="H44" s="1"/>
  <c r="H46" s="1"/>
  <c r="F44" s="1"/>
  <c r="H31" i="8" s="1"/>
  <c r="Z38" i="7" l="1"/>
  <c r="AA38" s="1"/>
  <c r="AB38" s="1"/>
  <c r="AC38" s="1"/>
  <c r="AH38" s="1"/>
  <c r="AI38" s="1"/>
  <c r="AJ38" s="1"/>
  <c r="AK38" s="1"/>
  <c r="AL38" s="1"/>
  <c r="F42" s="1"/>
  <c r="F43" s="1"/>
  <c r="H34" i="8"/>
</calcChain>
</file>

<file path=xl/sharedStrings.xml><?xml version="1.0" encoding="utf-8"?>
<sst xmlns="http://schemas.openxmlformats.org/spreadsheetml/2006/main" count="1249" uniqueCount="343">
  <si>
    <t>TABEL PENJUALAN</t>
  </si>
  <si>
    <t>SEKTOR EKONOMI</t>
  </si>
  <si>
    <t>JENIS USAHA</t>
  </si>
  <si>
    <t>No</t>
  </si>
  <si>
    <t>Satuan</t>
  </si>
  <si>
    <t>Harga/Satuan</t>
  </si>
  <si>
    <t>Jumlah</t>
  </si>
  <si>
    <t>:</t>
  </si>
  <si>
    <t xml:space="preserve"> </t>
  </si>
  <si>
    <t>Tabel Lampiran 1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</si>
  <si>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</si>
  <si>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</si>
  <si>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</si>
  <si>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</si>
  <si>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</si>
  <si>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</si>
  <si>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</si>
  <si>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</si>
  <si>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</si>
  <si>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</si>
  <si>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</si>
  <si>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</si>
  <si>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</si>
  <si>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</si>
  <si>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</si>
  <si>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</si>
  <si>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</si>
  <si>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</si>
  <si>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</si>
  <si>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6.</t>
  </si>
  <si>
    <t>Nama Barang</t>
  </si>
  <si>
    <t>7.</t>
  </si>
  <si>
    <t>Harga produk yang dijual</t>
  </si>
  <si>
    <t>8.</t>
  </si>
  <si>
    <t>Kapasitas produksi</t>
  </si>
  <si>
    <t>a.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</si>
  <si>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</si>
  <si>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</si>
  <si>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</si>
  <si>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</si>
  <si>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</si>
  <si>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</si>
  <si>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</si>
  <si>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</si>
  <si>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</si>
  <si>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</si>
  <si>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</si>
  <si>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</si>
  <si>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</si>
  <si>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</si>
  <si>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</si>
  <si>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</si>
  <si>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</si>
  <si>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</si>
  <si>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</si>
  <si>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>Paket</t>
  </si>
  <si>
    <t>Tenaga Kerja</t>
  </si>
  <si>
    <t>HOK</t>
  </si>
  <si>
    <t>d.</t>
  </si>
  <si>
    <t>SUMBER DANA</t>
  </si>
  <si>
    <t>NO.</t>
  </si>
  <si>
    <t>MODAL (RP)</t>
  </si>
  <si>
    <t>Modal Kerja</t>
  </si>
  <si>
    <t>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</si>
  <si>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</si>
  <si>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</si>
  <si>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</si>
  <si>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</si>
  <si>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</si>
  <si>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</si>
  <si>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</si>
  <si>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PERKIRAAN ARUS KAS</t>
  </si>
  <si>
    <t>Cash Flow untuk menghitung IRR</t>
  </si>
  <si>
    <t>Present Value</t>
  </si>
  <si>
    <t>Cummulative</t>
  </si>
  <si>
    <t>Net Present Value (Rupiah)</t>
  </si>
  <si>
    <t>IRR</t>
  </si>
  <si>
    <t>Net B/C</t>
  </si>
  <si>
    <t>Perkebunan</t>
  </si>
  <si>
    <t>Penanaman</t>
  </si>
  <si>
    <t>Pemupukan</t>
  </si>
  <si>
    <t>-</t>
  </si>
  <si>
    <t>Jumlah siklus produksi per tahun</t>
  </si>
  <si>
    <t xml:space="preserve">Satu siklus produksi </t>
  </si>
  <si>
    <t>Kg</t>
  </si>
  <si>
    <t>Rp/Kg</t>
  </si>
  <si>
    <t>Persen/Thn</t>
  </si>
  <si>
    <t>Buah</t>
  </si>
  <si>
    <t>Batang</t>
  </si>
  <si>
    <t>%</t>
  </si>
  <si>
    <t>Angsuran bunga</t>
  </si>
  <si>
    <t>Pokok</t>
  </si>
  <si>
    <t>Pajak (0,5% dari omset)</t>
  </si>
  <si>
    <t>KELAYAKAN USAHA</t>
  </si>
  <si>
    <t>SKALA USAHA</t>
  </si>
  <si>
    <t>1 HA</t>
  </si>
  <si>
    <t>TM-1</t>
  </si>
  <si>
    <t>TM-2</t>
  </si>
  <si>
    <t>TM-3</t>
  </si>
  <si>
    <t>TM-4</t>
  </si>
  <si>
    <t>TM-5</t>
  </si>
  <si>
    <t>TM-6</t>
  </si>
  <si>
    <t>TM-7</t>
  </si>
  <si>
    <t>TM-8</t>
  </si>
  <si>
    <t>TM-9</t>
  </si>
  <si>
    <t>TM-10</t>
  </si>
  <si>
    <t>TM-11</t>
  </si>
  <si>
    <t>TM-12</t>
  </si>
  <si>
    <t>TM-13</t>
  </si>
  <si>
    <t>TM-14</t>
  </si>
  <si>
    <t>TM-15</t>
  </si>
  <si>
    <t>TM-16</t>
  </si>
  <si>
    <t>TM-17</t>
  </si>
  <si>
    <t>Nilai penjualan</t>
  </si>
  <si>
    <t>Uraian</t>
  </si>
  <si>
    <t>Harga</t>
  </si>
  <si>
    <t>TBM 0</t>
  </si>
  <si>
    <t xml:space="preserve"> (Rp/Satuan)</t>
  </si>
  <si>
    <t>Kuantitas</t>
  </si>
  <si>
    <t>Rp</t>
  </si>
  <si>
    <t xml:space="preserve">PERSIAPAN LAHAN </t>
  </si>
  <si>
    <t>PEMAGARAN</t>
  </si>
  <si>
    <t>Bahan:</t>
  </si>
  <si>
    <t xml:space="preserve">Kawat Pagar </t>
  </si>
  <si>
    <t>Roll</t>
  </si>
  <si>
    <t>Paku</t>
  </si>
  <si>
    <t>Kayu Pagar</t>
  </si>
  <si>
    <t>3.1</t>
  </si>
  <si>
    <t>Mengajir</t>
  </si>
  <si>
    <t>Ajir</t>
  </si>
  <si>
    <t>3.2</t>
  </si>
  <si>
    <t>Melubang</t>
  </si>
  <si>
    <t>Cangkul</t>
  </si>
  <si>
    <t>Parang</t>
  </si>
  <si>
    <t>3.3</t>
  </si>
  <si>
    <t>Menanam</t>
  </si>
  <si>
    <t>SP-36 (untuk Lubang)</t>
  </si>
  <si>
    <t>3.4</t>
  </si>
  <si>
    <t>Menyulam</t>
  </si>
  <si>
    <t>TBM 1</t>
  </si>
  <si>
    <t>TBM 2</t>
  </si>
  <si>
    <t>MENYIANG KIMIAWI</t>
  </si>
  <si>
    <t>1.1</t>
  </si>
  <si>
    <t>1.2</t>
  </si>
  <si>
    <t>Round-up</t>
  </si>
  <si>
    <t>Liter</t>
  </si>
  <si>
    <t>Semprot barisan</t>
  </si>
  <si>
    <t>1.4</t>
  </si>
  <si>
    <t>1.5</t>
  </si>
  <si>
    <t>Round-Up</t>
  </si>
  <si>
    <t>1.6</t>
  </si>
  <si>
    <t xml:space="preserve">Hand Sprayer </t>
  </si>
  <si>
    <t>MENUNAS</t>
  </si>
  <si>
    <t>2.1</t>
  </si>
  <si>
    <t>2.2</t>
  </si>
  <si>
    <t>Pisau Tunas</t>
  </si>
  <si>
    <t>PEMUPUKAN</t>
  </si>
  <si>
    <t>Urea</t>
  </si>
  <si>
    <t xml:space="preserve">Kg </t>
  </si>
  <si>
    <t>SP-36</t>
  </si>
  <si>
    <t>KCl</t>
  </si>
  <si>
    <t>PENYIANGAN MANUAL</t>
  </si>
  <si>
    <t>4.1</t>
  </si>
  <si>
    <t>Dongkel anak kayu</t>
  </si>
  <si>
    <t>4.2</t>
  </si>
  <si>
    <t>Bokor piringan</t>
  </si>
  <si>
    <t>4.3</t>
  </si>
  <si>
    <t>Tebas rendahan (5 %)</t>
  </si>
  <si>
    <t>TBM 3</t>
  </si>
  <si>
    <t>TM 1</t>
  </si>
  <si>
    <t>TM 2</t>
  </si>
  <si>
    <t>TM 3</t>
  </si>
  <si>
    <t>BIAYA PENYADAPAN</t>
  </si>
  <si>
    <t>Alat dan Bahan</t>
  </si>
  <si>
    <t>PEMELIHARAAN TM</t>
  </si>
  <si>
    <t>PENYIANGAN KIMIAWI</t>
  </si>
  <si>
    <t>Hand Sprayer</t>
  </si>
  <si>
    <t>PENGENDALIAN PENYAKIT</t>
  </si>
  <si>
    <t>Obat-obatan</t>
  </si>
  <si>
    <t>2.3</t>
  </si>
  <si>
    <t>K Cl</t>
  </si>
  <si>
    <t>TM 4</t>
  </si>
  <si>
    <t>TM 5</t>
  </si>
  <si>
    <t>TM 6</t>
  </si>
  <si>
    <t>TM 7</t>
  </si>
  <si>
    <t>TM 8</t>
  </si>
  <si>
    <t>TM 9</t>
  </si>
  <si>
    <t>TM 10</t>
  </si>
  <si>
    <t>TM 11</t>
  </si>
  <si>
    <t>TM 12</t>
  </si>
  <si>
    <t>TM 13</t>
  </si>
  <si>
    <t>TM 14</t>
  </si>
  <si>
    <t>TM 15</t>
  </si>
  <si>
    <t>TM 16</t>
  </si>
  <si>
    <t>TM 17</t>
  </si>
  <si>
    <t>TBM0</t>
  </si>
  <si>
    <t>TBM1</t>
  </si>
  <si>
    <t>TBM2</t>
  </si>
  <si>
    <t>TBM3</t>
  </si>
  <si>
    <t>TM1</t>
  </si>
  <si>
    <t>TM2</t>
  </si>
  <si>
    <t>TM3</t>
  </si>
  <si>
    <t>TM4</t>
  </si>
  <si>
    <t>TM5</t>
  </si>
  <si>
    <t>TM6</t>
  </si>
  <si>
    <t>TM7</t>
  </si>
  <si>
    <t>TM8</t>
  </si>
  <si>
    <t>TM9</t>
  </si>
  <si>
    <t>TM10</t>
  </si>
  <si>
    <t>TM11</t>
  </si>
  <si>
    <t>TM12</t>
  </si>
  <si>
    <t xml:space="preserve">  </t>
  </si>
  <si>
    <t>Kredit investasi (KI) Pemb. Kebun</t>
  </si>
  <si>
    <t>Kredit investasi (KI)</t>
  </si>
  <si>
    <t>Posisi Pokok Pinjaman</t>
  </si>
  <si>
    <t>Angsuran :</t>
  </si>
  <si>
    <t xml:space="preserve">Bunga </t>
  </si>
  <si>
    <t>Total</t>
  </si>
  <si>
    <t>TM13</t>
  </si>
  <si>
    <t>TM14</t>
  </si>
  <si>
    <t>TM15</t>
  </si>
  <si>
    <t>TM16</t>
  </si>
  <si>
    <t>TM17</t>
  </si>
  <si>
    <t>I.</t>
  </si>
  <si>
    <t xml:space="preserve">Penjualan </t>
  </si>
  <si>
    <t>b</t>
  </si>
  <si>
    <t>II.</t>
  </si>
  <si>
    <t>Biaya-biaya :</t>
  </si>
  <si>
    <t>Persiapan lahan</t>
  </si>
  <si>
    <t>Pemagaran</t>
  </si>
  <si>
    <t>c</t>
  </si>
  <si>
    <t>Pemeliharaan :</t>
  </si>
  <si>
    <t>Menyiang kimiawi</t>
  </si>
  <si>
    <t>Menunas</t>
  </si>
  <si>
    <t>Penyiangan manual</t>
  </si>
  <si>
    <t>Pengendalian penyakit</t>
  </si>
  <si>
    <t>III.</t>
  </si>
  <si>
    <t>Laba operasi (I - II)</t>
  </si>
  <si>
    <t>IV.</t>
  </si>
  <si>
    <t>Bunga bank</t>
  </si>
  <si>
    <t>V</t>
  </si>
  <si>
    <t>VI.</t>
  </si>
  <si>
    <t>Laba operasi bersih</t>
  </si>
  <si>
    <t>Laba bersih</t>
  </si>
  <si>
    <t>Cash-inflow :</t>
  </si>
  <si>
    <t>Kredit Investasi Pembangunan Kebun</t>
  </si>
  <si>
    <t>Modal sendiri</t>
  </si>
  <si>
    <t>Cash-outflow :</t>
  </si>
  <si>
    <t>Investasi pembangunan kebun</t>
  </si>
  <si>
    <t>Interest During Construction (IDC)</t>
  </si>
  <si>
    <t>Net-Cash Flow (I - II)</t>
  </si>
  <si>
    <t>V.</t>
  </si>
  <si>
    <t>TBM-0</t>
  </si>
  <si>
    <t>TBM-1</t>
  </si>
  <si>
    <t>TBM-2</t>
  </si>
  <si>
    <t>TBM-3</t>
  </si>
  <si>
    <t>A</t>
  </si>
  <si>
    <t>B.</t>
  </si>
  <si>
    <t>Jumlah A</t>
  </si>
  <si>
    <t>Jumlah B</t>
  </si>
  <si>
    <t>Jumlah A + B</t>
  </si>
  <si>
    <t>I.  BIAYA PERSIAPAN LAHAN SECARA MANUAL DAN PENANAMAN</t>
  </si>
  <si>
    <t>II. BIAYA PEMELIHARAAN TBM-1-2</t>
  </si>
  <si>
    <t xml:space="preserve">I.  BIAYA PRODUKSI DAN PEMELIHARAAN TM 1 - 3 </t>
  </si>
  <si>
    <t>II.  BIAYA PRODUKSI DAN PEMELIHARAAN TM 4 - 5</t>
  </si>
  <si>
    <t>III.  BIAYA PRODUKSI DAN PEMELIHARAAN TM 7 - 9</t>
  </si>
  <si>
    <t>IV.  BIAYA PRODUKSI DAN PEMELIHARAAN TM 10 - 12</t>
  </si>
  <si>
    <t>V.  BIAYA PRODUKSI DAN PEMELIHARAAN TM 13 - 15</t>
  </si>
  <si>
    <t>Modal Kerja (TM-1)</t>
  </si>
  <si>
    <t xml:space="preserve">KI-IDC </t>
  </si>
  <si>
    <t>Bunga (7,5%)</t>
  </si>
  <si>
    <t>Penjualan</t>
  </si>
  <si>
    <t>KI-IDC</t>
  </si>
  <si>
    <t>Biaya produksi dan pemeliharaan</t>
  </si>
  <si>
    <t>Total Cash-Inflow</t>
  </si>
  <si>
    <t>Cash Infow untuk menghitung IRR</t>
  </si>
  <si>
    <t xml:space="preserve">Angsuran pokok </t>
  </si>
  <si>
    <t>Total Cash-Outflow</t>
  </si>
  <si>
    <t>Cash Outflow untuk menghitung IRR</t>
  </si>
  <si>
    <t>Kredit Modal kerja</t>
  </si>
  <si>
    <t xml:space="preserve">Investasi </t>
  </si>
  <si>
    <t>Kredit IDC</t>
  </si>
  <si>
    <t>Total kredit investasi</t>
  </si>
  <si>
    <t>Discout Factor (7,5%/thn)</t>
  </si>
  <si>
    <t>Produksi per siklus/umur proyek :</t>
  </si>
  <si>
    <t>-  Menyiang</t>
  </si>
  <si>
    <t>-  Menunas</t>
  </si>
  <si>
    <t>-  Memupuk</t>
  </si>
  <si>
    <t xml:space="preserve"> (Rp/Sat)</t>
  </si>
  <si>
    <t>KEB. MODAL (RP)</t>
  </si>
  <si>
    <r>
      <t xml:space="preserve">Note = IDC = </t>
    </r>
    <r>
      <rPr>
        <i/>
        <sz val="11"/>
        <rFont val="Calibri"/>
        <family val="2"/>
        <scheme val="minor"/>
      </rPr>
      <t>Interest During Contruction</t>
    </r>
    <r>
      <rPr>
        <sz val="11"/>
        <rFont val="Calibri"/>
        <family val="2"/>
        <scheme val="minor"/>
      </rPr>
      <t xml:space="preserve"> (Bunga Masa Pembangunan Kebun)</t>
    </r>
  </si>
  <si>
    <t>Ket : HOK = Hari Orang Kerja ; TBM = Tanaman Belum Menghasilkan</t>
  </si>
  <si>
    <t xml:space="preserve">           TM = Tanaman Menghasilkan</t>
  </si>
  <si>
    <t>Menyiang</t>
  </si>
  <si>
    <t>Memupuk</t>
  </si>
  <si>
    <t>Polibag</t>
  </si>
  <si>
    <t>BIAYA PRODUKSI (PANEN) DAN PEMELIHARAAN</t>
  </si>
  <si>
    <t>KI- IDC (7,5%/thn)</t>
  </si>
  <si>
    <t xml:space="preserve">Pay Back Period/PBP </t>
  </si>
  <si>
    <t>VII</t>
  </si>
  <si>
    <t>Profit Marjin (%)</t>
  </si>
  <si>
    <t>Note : TM-1 = Tanaman Menghasilkan Tahun ke 1.  Tanaman Kopi berbuah pada usia 3 tahun sampai 20 tahun (usia produktif = 17 tahun)</t>
  </si>
  <si>
    <t>TBM-0 sd TBM-3 :</t>
  </si>
  <si>
    <t xml:space="preserve">Persiapan lahan </t>
  </si>
  <si>
    <t>Pemeliharaan TBM-1 sd 3</t>
  </si>
  <si>
    <t>TM-1 sd TM-20 :</t>
  </si>
  <si>
    <t>Memanen</t>
  </si>
  <si>
    <t>Total Produksi</t>
  </si>
  <si>
    <t>TM 1 - TM 20</t>
  </si>
  <si>
    <t>Tahun 1 sd 3</t>
  </si>
  <si>
    <t>Tahun 4 sd 20</t>
  </si>
  <si>
    <t>Note : Status kebun kopi milik sendiri</t>
  </si>
  <si>
    <t>VI.  BIAYA PRODUKSI DAN PEMELIHARAAN TM 16 - 17</t>
  </si>
  <si>
    <t>BIAYA PEMANENAN</t>
  </si>
  <si>
    <t>Keranjang panen</t>
  </si>
  <si>
    <t>Tenaga Kerja Panen</t>
  </si>
  <si>
    <t>Keterangan :</t>
  </si>
  <si>
    <t>Akumulasi Laba</t>
  </si>
  <si>
    <t>Laba/tahun</t>
  </si>
  <si>
    <t>VIII</t>
  </si>
  <si>
    <t>Note : Biaya investasi tidak termasuk harga tanah seluas 1 Ha</t>
  </si>
  <si>
    <t>Profit Narjin (%)</t>
  </si>
  <si>
    <t>Rata-Rata Profit Narjin (%)</t>
  </si>
  <si>
    <t>Budidaya Cengkeh</t>
  </si>
  <si>
    <t>I.  PERKIRAAN PENJUALAN CENGKEH (TM-1 SD TM-7)</t>
  </si>
  <si>
    <t>II.  PERKIRAAN PENJUALAN CENGKEH (TM-8 SD TM-14)</t>
  </si>
  <si>
    <t>III.  PERKIRAAN PENJUALAN CENGKEH (TM-15 SD TM-21)</t>
  </si>
  <si>
    <t>I.  RENCANA ANGSURAN KREDIT BUDIDAYA CENGKEH</t>
  </si>
  <si>
    <t>I.  PROYEKSI RUGI LABA BUDIDAYA KOPI CENGKEH</t>
  </si>
  <si>
    <t>II.  RENCANA ANGSURAN KREDIT BUDIDAYA KOPI CENGKEH</t>
  </si>
  <si>
    <t>II.  PROYEKSI RUGI LABA BUDIDAYA KOPI CENGKEH</t>
  </si>
  <si>
    <t>III.  RENCANA ANGSURAN KREDIT BUDIDAYA CENGKEH</t>
  </si>
  <si>
    <t>III.  PROYEKSI RUGI LABA BUDIDAYA CENGKEH</t>
  </si>
  <si>
    <t>PROYEKSI CASH FLOW BUDIDAYA CENGKEH</t>
  </si>
  <si>
    <t xml:space="preserve">PENANAMAN </t>
  </si>
  <si>
    <t>Bibit Cengkeh (Tanam dan Sulam)</t>
  </si>
  <si>
    <t>Bunga cengkeh kering</t>
  </si>
  <si>
    <t>Harga bunga cengkeh kering (Rp/kg)</t>
  </si>
  <si>
    <t>Produksi bunga cengkeh kering (kg)</t>
  </si>
  <si>
    <t>IV.  PROYEKSI RUGI LABA BUDIDAYA CENGKEH</t>
  </si>
  <si>
    <t>Harga jual bunga cengkeh kering (Rp/kg)</t>
  </si>
  <si>
    <t>Thn ke-8</t>
  </si>
  <si>
    <t>kg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</si>
</sst>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-* #,##0.00_-;\-* #,##0.00_-;_-* &quot;-&quot;_-;_-@_-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Frutiger 45 Light"/>
      <family val="2"/>
    </font>
    <font>
      <b/>
      <sz val="11"/>
      <color theme="1"/>
      <name val="Frutiger 45 Light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4" xfId="0" applyFont="1" applyBorder="1"/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0" fillId="0" borderId="8" xfId="0" applyFont="1" applyBorder="1"/>
    <xf numFmtId="0" fontId="0" fillId="0" borderId="4" xfId="0" applyFill="1" applyBorder="1"/>
    <xf numFmtId="41" fontId="0" fillId="0" borderId="1" xfId="1" applyFont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quotePrefix="1" applyAlignment="1">
      <alignment horizontal="center"/>
    </xf>
    <xf numFmtId="41" fontId="0" fillId="0" borderId="2" xfId="1" applyFont="1" applyBorder="1"/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quotePrefix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0" fontId="0" fillId="0" borderId="15" xfId="0" applyBorder="1"/>
    <xf numFmtId="4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1" xfId="0" applyFill="1" applyBorder="1"/>
    <xf numFmtId="41" fontId="0" fillId="0" borderId="1" xfId="1" applyFont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2" borderId="8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0" fillId="0" borderId="12" xfId="0" applyFill="1" applyBorder="1"/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" xfId="0" quotePrefix="1" applyFont="1" applyFill="1" applyBorder="1" applyAlignment="1">
      <alignment horizontal="center"/>
    </xf>
    <xf numFmtId="0" fontId="0" fillId="0" borderId="3" xfId="0" quotePrefix="1" applyFont="1" applyFill="1" applyBorder="1"/>
    <xf numFmtId="41" fontId="0" fillId="0" borderId="4" xfId="1" applyFont="1" applyBorder="1"/>
    <xf numFmtId="41" fontId="0" fillId="4" borderId="1" xfId="1" applyFont="1" applyFill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2" fontId="0" fillId="0" borderId="1" xfId="0" applyNumberFormat="1" applyFont="1" applyBorder="1"/>
    <xf numFmtId="0" fontId="0" fillId="0" borderId="11" xfId="0" applyFont="1" applyBorder="1"/>
    <xf numFmtId="0" fontId="0" fillId="0" borderId="7" xfId="0" applyFont="1" applyBorder="1"/>
    <xf numFmtId="0" fontId="0" fillId="0" borderId="11" xfId="0" applyFont="1" applyBorder="1" applyAlignment="1">
      <alignment horizontal="center"/>
    </xf>
    <xf numFmtId="0" fontId="0" fillId="0" borderId="1" xfId="0" quotePrefix="1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6" xfId="0" quotePrefix="1" applyFont="1" applyBorder="1"/>
    <xf numFmtId="0" fontId="0" fillId="0" borderId="9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1" xfId="0" quotePrefix="1" applyFont="1" applyBorder="1" applyAlignment="1">
      <alignment horizontal="right"/>
    </xf>
    <xf numFmtId="0" fontId="0" fillId="0" borderId="11" xfId="0" quotePrefix="1" applyFont="1" applyBorder="1"/>
    <xf numFmtId="0" fontId="0" fillId="0" borderId="2" xfId="0" applyFont="1" applyBorder="1"/>
    <xf numFmtId="0" fontId="0" fillId="0" borderId="2" xfId="0" quotePrefix="1" applyFont="1" applyBorder="1"/>
    <xf numFmtId="0" fontId="0" fillId="0" borderId="15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4" xfId="0" quotePrefix="1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165" fontId="0" fillId="0" borderId="4" xfId="2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41" fontId="0" fillId="0" borderId="5" xfId="1" applyFont="1" applyBorder="1" applyAlignment="1">
      <alignment horizontal="right" wrapText="1"/>
    </xf>
    <xf numFmtId="0" fontId="0" fillId="0" borderId="6" xfId="0" applyFont="1" applyBorder="1" applyAlignment="1">
      <alignment wrapText="1"/>
    </xf>
    <xf numFmtId="0" fontId="0" fillId="0" borderId="0" xfId="0" quotePrefix="1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165" fontId="0" fillId="0" borderId="0" xfId="2" applyNumberFormat="1" applyFont="1" applyBorder="1" applyAlignment="1">
      <alignment wrapText="1"/>
    </xf>
    <xf numFmtId="0" fontId="0" fillId="0" borderId="6" xfId="0" applyFont="1" applyBorder="1" applyAlignment="1">
      <alignment horizontal="right" wrapText="1"/>
    </xf>
    <xf numFmtId="41" fontId="0" fillId="0" borderId="10" xfId="1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8" xfId="0" applyFont="1" applyBorder="1" applyAlignment="1">
      <alignment wrapText="1"/>
    </xf>
    <xf numFmtId="165" fontId="0" fillId="0" borderId="8" xfId="2" applyNumberFormat="1" applyFont="1" applyBorder="1" applyAlignment="1">
      <alignment horizontal="right" wrapText="1"/>
    </xf>
    <xf numFmtId="0" fontId="0" fillId="0" borderId="11" xfId="0" applyFont="1" applyBorder="1" applyAlignment="1">
      <alignment horizontal="right" wrapText="1"/>
    </xf>
    <xf numFmtId="0" fontId="0" fillId="0" borderId="2" xfId="0" applyFont="1" applyBorder="1" applyAlignment="1">
      <alignment wrapText="1"/>
    </xf>
    <xf numFmtId="0" fontId="0" fillId="0" borderId="15" xfId="0" applyFont="1" applyBorder="1" applyAlignment="1">
      <alignment wrapText="1"/>
    </xf>
    <xf numFmtId="165" fontId="0" fillId="0" borderId="15" xfId="2" applyNumberFormat="1" applyFont="1" applyBorder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0" fontId="0" fillId="0" borderId="4" xfId="0" quotePrefix="1" applyFont="1" applyBorder="1" applyAlignment="1">
      <alignment wrapText="1"/>
    </xf>
    <xf numFmtId="165" fontId="0" fillId="0" borderId="5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horizontal="right" wrapText="1"/>
    </xf>
    <xf numFmtId="0" fontId="0" fillId="0" borderId="3" xfId="0" quotePrefix="1" applyFont="1" applyBorder="1" applyAlignment="1">
      <alignment horizontal="center" wrapText="1"/>
    </xf>
    <xf numFmtId="165" fontId="0" fillId="0" borderId="5" xfId="2" applyNumberFormat="1" applyFont="1" applyBorder="1" applyAlignment="1">
      <alignment horizontal="right" wrapText="1"/>
    </xf>
    <xf numFmtId="0" fontId="0" fillId="0" borderId="0" xfId="0" quotePrefix="1" applyFont="1" applyBorder="1" applyAlignment="1">
      <alignment wrapText="1"/>
    </xf>
    <xf numFmtId="165" fontId="0" fillId="0" borderId="13" xfId="2" applyNumberFormat="1" applyFont="1" applyBorder="1" applyAlignment="1">
      <alignment wrapText="1"/>
    </xf>
    <xf numFmtId="165" fontId="0" fillId="0" borderId="3" xfId="2" applyNumberFormat="1" applyFont="1" applyBorder="1" applyAlignment="1">
      <alignment horizontal="right" wrapText="1"/>
    </xf>
    <xf numFmtId="165" fontId="0" fillId="0" borderId="3" xfId="2" applyNumberFormat="1" applyFont="1" applyBorder="1" applyAlignment="1">
      <alignment wrapText="1"/>
    </xf>
    <xf numFmtId="0" fontId="0" fillId="0" borderId="3" xfId="0" quotePrefix="1" applyFont="1" applyBorder="1" applyAlignment="1">
      <alignment horizontal="center" vertical="top" wrapText="1"/>
    </xf>
    <xf numFmtId="41" fontId="0" fillId="0" borderId="12" xfId="1" applyFont="1" applyBorder="1" applyAlignment="1">
      <alignment horizontal="right" wrapText="1"/>
    </xf>
    <xf numFmtId="0" fontId="0" fillId="3" borderId="7" xfId="0" applyFont="1" applyFill="1" applyBorder="1"/>
    <xf numFmtId="0" fontId="1" fillId="3" borderId="12" xfId="0" applyFont="1" applyFill="1" applyBorder="1" applyAlignment="1">
      <alignment horizontal="left" vertical="center" wrapText="1"/>
    </xf>
    <xf numFmtId="0" fontId="0" fillId="3" borderId="13" xfId="0" applyFont="1" applyFill="1" applyBorder="1"/>
    <xf numFmtId="0" fontId="1" fillId="3" borderId="14" xfId="0" applyFont="1" applyFill="1" applyBorder="1" applyAlignment="1">
      <alignment horizontal="left" vertical="center" wrapText="1"/>
    </xf>
    <xf numFmtId="0" fontId="0" fillId="0" borderId="9" xfId="0" quotePrefix="1" applyFont="1" applyBorder="1"/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3" fontId="0" fillId="0" borderId="1" xfId="0" applyNumberFormat="1" applyFont="1" applyBorder="1" applyAlignment="1">
      <alignment horizontal="right" wrapText="1"/>
    </xf>
    <xf numFmtId="43" fontId="0" fillId="0" borderId="1" xfId="2" applyFont="1" applyBorder="1" applyAlignment="1">
      <alignment horizontal="right" wrapText="1"/>
    </xf>
    <xf numFmtId="165" fontId="0" fillId="0" borderId="1" xfId="2" applyNumberFormat="1" applyFont="1" applyBorder="1" applyAlignment="1">
      <alignment horizontal="right" wrapText="1"/>
    </xf>
    <xf numFmtId="0" fontId="0" fillId="0" borderId="3" xfId="0" quotePrefix="1" applyFont="1" applyBorder="1"/>
    <xf numFmtId="0" fontId="1" fillId="3" borderId="7" xfId="0" applyFont="1" applyFill="1" applyBorder="1"/>
    <xf numFmtId="0" fontId="1" fillId="3" borderId="13" xfId="0" applyFont="1" applyFill="1" applyBorder="1"/>
    <xf numFmtId="0" fontId="3" fillId="2" borderId="13" xfId="0" quotePrefix="1" applyFont="1" applyFill="1" applyBorder="1" applyAlignment="1">
      <alignment vertical="center"/>
    </xf>
    <xf numFmtId="0" fontId="3" fillId="2" borderId="53" xfId="0" quotePrefix="1" applyFont="1" applyFill="1" applyBorder="1" applyAlignment="1">
      <alignment vertical="center"/>
    </xf>
    <xf numFmtId="41" fontId="3" fillId="0" borderId="53" xfId="1" applyFont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0" fontId="0" fillId="3" borderId="8" xfId="0" applyFont="1" applyFill="1" applyBorder="1"/>
    <xf numFmtId="0" fontId="0" fillId="3" borderId="15" xfId="0" applyFont="1" applyFill="1" applyBorder="1"/>
    <xf numFmtId="0" fontId="0" fillId="3" borderId="1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9" fillId="0" borderId="22" xfId="0" applyNumberFormat="1" applyFont="1" applyBorder="1"/>
    <xf numFmtId="37" fontId="9" fillId="0" borderId="0" xfId="0" applyNumberFormat="1" applyFont="1" applyBorder="1"/>
    <xf numFmtId="37" fontId="9" fillId="0" borderId="0" xfId="0" applyNumberFormat="1" applyFont="1"/>
    <xf numFmtId="37" fontId="9" fillId="7" borderId="23" xfId="0" applyNumberFormat="1" applyFont="1" applyFill="1" applyBorder="1" applyAlignment="1">
      <alignment horizontal="center"/>
    </xf>
    <xf numFmtId="37" fontId="9" fillId="7" borderId="24" xfId="0" applyNumberFormat="1" applyFont="1" applyFill="1" applyBorder="1" applyAlignment="1">
      <alignment horizontal="center"/>
    </xf>
    <xf numFmtId="37" fontId="3" fillId="7" borderId="26" xfId="0" applyNumberFormat="1" applyFont="1" applyFill="1" applyBorder="1" applyAlignment="1" applyProtection="1">
      <alignment horizontal="center"/>
    </xf>
    <xf numFmtId="37" fontId="3" fillId="7" borderId="16" xfId="0" applyNumberFormat="1" applyFont="1" applyFill="1" applyBorder="1" applyAlignment="1" applyProtection="1">
      <alignment horizontal="center"/>
    </xf>
    <xf numFmtId="37" fontId="3" fillId="7" borderId="27" xfId="0" applyNumberFormat="1" applyFont="1" applyFill="1" applyBorder="1" applyAlignment="1" applyProtection="1">
      <alignment horizontal="center"/>
    </xf>
    <xf numFmtId="37" fontId="3" fillId="5" borderId="0" xfId="0" applyNumberFormat="1" applyFont="1" applyFill="1" applyBorder="1" applyAlignment="1" applyProtection="1">
      <alignment horizontal="center"/>
    </xf>
    <xf numFmtId="37" fontId="9" fillId="5" borderId="0" xfId="0" applyNumberFormat="1" applyFont="1" applyFill="1" applyBorder="1" applyAlignment="1">
      <alignment horizontal="center"/>
    </xf>
    <xf numFmtId="0" fontId="0" fillId="5" borderId="0" xfId="0" applyFont="1" applyFill="1" applyBorder="1"/>
    <xf numFmtId="37" fontId="9" fillId="0" borderId="28" xfId="0" quotePrefix="1" applyNumberFormat="1" applyFont="1" applyBorder="1"/>
    <xf numFmtId="37" fontId="9" fillId="0" borderId="39" xfId="0" applyNumberFormat="1" applyFont="1" applyBorder="1"/>
    <xf numFmtId="37" fontId="9" fillId="0" borderId="17" xfId="0" applyNumberFormat="1" applyFont="1" applyBorder="1"/>
    <xf numFmtId="37" fontId="9" fillId="0" borderId="29" xfId="0" applyNumberFormat="1" applyFont="1" applyBorder="1"/>
    <xf numFmtId="37" fontId="9" fillId="0" borderId="28" xfId="0" applyNumberFormat="1" applyFont="1" applyBorder="1"/>
    <xf numFmtId="37" fontId="9" fillId="0" borderId="30" xfId="0" applyNumberFormat="1" applyFont="1" applyFill="1" applyBorder="1"/>
    <xf numFmtId="37" fontId="9" fillId="0" borderId="39" xfId="0" quotePrefix="1" applyNumberFormat="1" applyFont="1" applyBorder="1"/>
    <xf numFmtId="37" fontId="9" fillId="0" borderId="17" xfId="0" quotePrefix="1" applyNumberFormat="1" applyFont="1" applyBorder="1"/>
    <xf numFmtId="37" fontId="4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Continuous"/>
    </xf>
    <xf numFmtId="37" fontId="3" fillId="0" borderId="22" xfId="0" applyNumberFormat="1" applyFont="1" applyBorder="1" applyAlignment="1" applyProtection="1">
      <alignment horizontal="centerContinuous"/>
    </xf>
    <xf numFmtId="37" fontId="3" fillId="0" borderId="0" xfId="0" applyNumberFormat="1" applyFont="1" applyBorder="1" applyAlignment="1" applyProtection="1">
      <alignment horizontal="centerContinuous"/>
    </xf>
    <xf numFmtId="37" fontId="3" fillId="7" borderId="31" xfId="0" applyNumberFormat="1" applyFont="1" applyFill="1" applyBorder="1" applyAlignment="1" applyProtection="1">
      <alignment horizontal="center"/>
    </xf>
    <xf numFmtId="37" fontId="3" fillId="6" borderId="32" xfId="0" applyNumberFormat="1" applyFont="1" applyFill="1" applyBorder="1" applyProtection="1"/>
    <xf numFmtId="37" fontId="3" fillId="6" borderId="33" xfId="0" applyNumberFormat="1" applyFont="1" applyFill="1" applyBorder="1" applyProtection="1"/>
    <xf numFmtId="37" fontId="9" fillId="6" borderId="33" xfId="0" applyNumberFormat="1" applyFont="1" applyFill="1" applyBorder="1" applyProtection="1"/>
    <xf numFmtId="37" fontId="9" fillId="6" borderId="34" xfId="0" applyNumberFormat="1" applyFont="1" applyFill="1" applyBorder="1" applyProtection="1"/>
    <xf numFmtId="37" fontId="3" fillId="6" borderId="35" xfId="0" applyNumberFormat="1" applyFont="1" applyFill="1" applyBorder="1" applyProtection="1"/>
    <xf numFmtId="37" fontId="3" fillId="5" borderId="0" xfId="0" applyNumberFormat="1" applyFont="1" applyFill="1" applyBorder="1" applyProtection="1"/>
    <xf numFmtId="37" fontId="3" fillId="0" borderId="36" xfId="0" applyNumberFormat="1" applyFont="1" applyBorder="1" applyProtection="1"/>
    <xf numFmtId="37" fontId="3" fillId="0" borderId="33" xfId="0" applyNumberFormat="1" applyFont="1" applyBorder="1" applyAlignment="1" applyProtection="1">
      <alignment horizontal="center"/>
    </xf>
    <xf numFmtId="37" fontId="9" fillId="0" borderId="33" xfId="0" applyNumberFormat="1" applyFont="1" applyBorder="1" applyProtection="1"/>
    <xf numFmtId="37" fontId="9" fillId="0" borderId="34" xfId="0" applyNumberFormat="1" applyFont="1" applyBorder="1" applyProtection="1"/>
    <xf numFmtId="37" fontId="3" fillId="0" borderId="37" xfId="0" applyNumberFormat="1" applyFont="1" applyBorder="1" applyProtection="1"/>
    <xf numFmtId="37" fontId="9" fillId="0" borderId="42" xfId="0" applyNumberFormat="1" applyFont="1" applyBorder="1" applyProtection="1"/>
    <xf numFmtId="37" fontId="3" fillId="0" borderId="38" xfId="0" applyNumberFormat="1" applyFont="1" applyBorder="1" applyProtection="1"/>
    <xf numFmtId="37" fontId="9" fillId="5" borderId="0" xfId="0" applyNumberFormat="1" applyFont="1" applyFill="1"/>
    <xf numFmtId="37" fontId="9" fillId="7" borderId="48" xfId="0" applyNumberFormat="1" applyFont="1" applyFill="1" applyBorder="1" applyAlignment="1">
      <alignment horizontal="center"/>
    </xf>
    <xf numFmtId="37" fontId="3" fillId="6" borderId="41" xfId="0" applyNumberFormat="1" applyFont="1" applyFill="1" applyBorder="1" applyProtection="1"/>
    <xf numFmtId="37" fontId="3" fillId="6" borderId="47" xfId="0" applyNumberFormat="1" applyFont="1" applyFill="1" applyBorder="1" applyProtection="1"/>
    <xf numFmtId="37" fontId="3" fillId="6" borderId="34" xfId="0" applyNumberFormat="1" applyFont="1" applyFill="1" applyBorder="1" applyProtection="1"/>
    <xf numFmtId="37" fontId="3" fillId="0" borderId="43" xfId="0" applyNumberFormat="1" applyFont="1" applyBorder="1" applyAlignment="1" applyProtection="1">
      <alignment horizontal="center"/>
    </xf>
    <xf numFmtId="37" fontId="3" fillId="0" borderId="33" xfId="0" applyNumberFormat="1" applyFont="1" applyBorder="1" applyProtection="1"/>
    <xf numFmtId="37" fontId="3" fillId="0" borderId="49" xfId="0" applyNumberFormat="1" applyFont="1" applyBorder="1" applyProtection="1"/>
    <xf numFmtId="37" fontId="3" fillId="0" borderId="50" xfId="0" applyNumberFormat="1" applyFont="1" applyBorder="1" applyProtection="1"/>
    <xf numFmtId="37" fontId="9" fillId="0" borderId="25" xfId="0" applyNumberFormat="1" applyFont="1" applyBorder="1"/>
    <xf numFmtId="0" fontId="0" fillId="0" borderId="54" xfId="0" applyFont="1" applyBorder="1"/>
    <xf numFmtId="37" fontId="3" fillId="0" borderId="4" xfId="0" applyNumberFormat="1" applyFont="1" applyBorder="1" applyProtection="1"/>
    <xf numFmtId="37" fontId="9" fillId="0" borderId="1" xfId="0" applyNumberFormat="1" applyFont="1" applyBorder="1"/>
    <xf numFmtId="37" fontId="3" fillId="0" borderId="0" xfId="0" applyNumberFormat="1" applyFont="1" applyBorder="1" applyProtection="1"/>
    <xf numFmtId="37" fontId="3" fillId="6" borderId="43" xfId="0" applyNumberFormat="1" applyFont="1" applyFill="1" applyBorder="1" applyProtection="1"/>
    <xf numFmtId="37" fontId="3" fillId="6" borderId="51" xfId="0" applyNumberFormat="1" applyFont="1" applyFill="1" applyBorder="1" applyProtection="1"/>
    <xf numFmtId="37" fontId="3" fillId="6" borderId="1" xfId="0" applyNumberFormat="1" applyFont="1" applyFill="1" applyBorder="1" applyProtection="1"/>
    <xf numFmtId="37" fontId="3" fillId="6" borderId="44" xfId="0" applyNumberFormat="1" applyFont="1" applyFill="1" applyBorder="1" applyProtection="1"/>
    <xf numFmtId="37" fontId="9" fillId="0" borderId="56" xfId="0" applyNumberFormat="1" applyFont="1" applyBorder="1"/>
    <xf numFmtId="37" fontId="3" fillId="0" borderId="55" xfId="0" applyNumberFormat="1" applyFont="1" applyBorder="1" applyProtection="1"/>
    <xf numFmtId="37" fontId="9" fillId="0" borderId="23" xfId="0" applyNumberFormat="1" applyFont="1" applyBorder="1"/>
    <xf numFmtId="37" fontId="9" fillId="0" borderId="40" xfId="0" applyNumberFormat="1" applyFont="1" applyBorder="1"/>
    <xf numFmtId="37" fontId="3" fillId="0" borderId="1" xfId="0" applyNumberFormat="1" applyFont="1" applyBorder="1" applyProtection="1"/>
    <xf numFmtId="37" fontId="3" fillId="0" borderId="51" xfId="0" applyNumberFormat="1" applyFont="1" applyBorder="1" applyProtection="1"/>
    <xf numFmtId="37" fontId="3" fillId="6" borderId="46" xfId="0" applyNumberFormat="1" applyFont="1" applyFill="1" applyBorder="1" applyProtection="1"/>
    <xf numFmtId="37" fontId="9" fillId="6" borderId="0" xfId="0" applyNumberFormat="1" applyFont="1" applyFill="1" applyBorder="1" applyProtection="1"/>
    <xf numFmtId="37" fontId="9" fillId="6" borderId="15" xfId="0" applyNumberFormat="1" applyFont="1" applyFill="1" applyBorder="1" applyProtection="1"/>
    <xf numFmtId="37" fontId="9" fillId="6" borderId="1" xfId="0" applyNumberFormat="1" applyFont="1" applyFill="1" applyBorder="1" applyProtection="1"/>
    <xf numFmtId="37" fontId="9" fillId="0" borderId="45" xfId="0" applyNumberFormat="1" applyFont="1" applyBorder="1" applyProtection="1"/>
    <xf numFmtId="37" fontId="9" fillId="0" borderId="50" xfId="0" applyNumberFormat="1" applyFont="1" applyBorder="1" applyProtection="1"/>
    <xf numFmtId="37" fontId="9" fillId="6" borderId="29" xfId="0" applyNumberFormat="1" applyFont="1" applyFill="1" applyBorder="1"/>
    <xf numFmtId="37" fontId="9" fillId="6" borderId="28" xfId="0" applyNumberFormat="1" applyFont="1" applyFill="1" applyBorder="1"/>
    <xf numFmtId="0" fontId="0" fillId="0" borderId="6" xfId="0" quotePrefix="1" applyFont="1" applyBorder="1" applyAlignment="1">
      <alignment horizontal="center"/>
    </xf>
    <xf numFmtId="0" fontId="0" fillId="0" borderId="10" xfId="0" applyFont="1" applyBorder="1"/>
    <xf numFmtId="0" fontId="0" fillId="0" borderId="5" xfId="0" applyFont="1" applyBorder="1"/>
    <xf numFmtId="9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1" fontId="0" fillId="0" borderId="1" xfId="0" applyNumberFormat="1" applyFont="1" applyBorder="1"/>
    <xf numFmtId="0" fontId="0" fillId="0" borderId="4" xfId="0" applyFont="1" applyBorder="1" applyAlignment="1">
      <alignment horizontal="left"/>
    </xf>
    <xf numFmtId="0" fontId="11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2" fillId="0" borderId="0" xfId="0" applyFont="1"/>
    <xf numFmtId="37" fontId="9" fillId="6" borderId="1" xfId="0" applyNumberFormat="1" applyFont="1" applyFill="1" applyBorder="1"/>
    <xf numFmtId="0" fontId="1" fillId="0" borderId="1" xfId="0" applyFont="1" applyBorder="1" applyAlignment="1">
      <alignment horizontal="center"/>
    </xf>
    <xf numFmtId="41" fontId="0" fillId="0" borderId="5" xfId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41" fontId="0" fillId="0" borderId="9" xfId="1" applyFont="1" applyBorder="1" applyAlignment="1">
      <alignment horizontal="right"/>
    </xf>
    <xf numFmtId="41" fontId="0" fillId="0" borderId="0" xfId="1" applyFont="1" applyBorder="1" applyAlignment="1">
      <alignment horizontal="right"/>
    </xf>
    <xf numFmtId="41" fontId="0" fillId="0" borderId="3" xfId="1" applyFont="1" applyBorder="1" applyAlignment="1">
      <alignment horizontal="right"/>
    </xf>
    <xf numFmtId="41" fontId="0" fillId="0" borderId="4" xfId="1" applyFont="1" applyBorder="1" applyAlignment="1">
      <alignment horizontal="right"/>
    </xf>
    <xf numFmtId="41" fontId="0" fillId="5" borderId="1" xfId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41" fontId="0" fillId="0" borderId="5" xfId="0" applyNumberFormat="1" applyBorder="1"/>
    <xf numFmtId="41" fontId="0" fillId="5" borderId="0" xfId="1" applyFont="1" applyFill="1" applyBorder="1" applyAlignment="1">
      <alignment horizontal="right" wrapText="1"/>
    </xf>
    <xf numFmtId="0" fontId="0" fillId="5" borderId="21" xfId="0" quotePrefix="1" applyFont="1" applyFill="1" applyBorder="1" applyAlignment="1">
      <alignment wrapText="1"/>
    </xf>
    <xf numFmtId="0" fontId="0" fillId="5" borderId="0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5" borderId="1" xfId="0" applyFont="1" applyFill="1" applyBorder="1" applyAlignment="1">
      <alignment horizontal="right" wrapText="1"/>
    </xf>
    <xf numFmtId="41" fontId="1" fillId="5" borderId="5" xfId="1" applyFont="1" applyFill="1" applyBorder="1" applyAlignment="1">
      <alignment horizontal="right" wrapText="1"/>
    </xf>
    <xf numFmtId="0" fontId="0" fillId="5" borderId="11" xfId="0" quotePrefix="1" applyFont="1" applyFill="1" applyBorder="1" applyAlignment="1">
      <alignment wrapText="1"/>
    </xf>
    <xf numFmtId="0" fontId="0" fillId="5" borderId="8" xfId="0" applyFont="1" applyFill="1" applyBorder="1" applyAlignment="1">
      <alignment wrapText="1"/>
    </xf>
    <xf numFmtId="0" fontId="0" fillId="5" borderId="11" xfId="0" applyFont="1" applyFill="1" applyBorder="1" applyAlignment="1">
      <alignment wrapText="1"/>
    </xf>
    <xf numFmtId="0" fontId="0" fillId="5" borderId="11" xfId="0" applyFont="1" applyFill="1" applyBorder="1" applyAlignment="1">
      <alignment horizontal="right" wrapText="1"/>
    </xf>
    <xf numFmtId="41" fontId="1" fillId="5" borderId="10" xfId="1" applyFont="1" applyFill="1" applyBorder="1" applyAlignment="1">
      <alignment horizontal="right" wrapText="1"/>
    </xf>
    <xf numFmtId="165" fontId="0" fillId="5" borderId="0" xfId="2" applyNumberFormat="1" applyFont="1" applyFill="1" applyBorder="1" applyAlignment="1">
      <alignment wrapText="1"/>
    </xf>
    <xf numFmtId="0" fontId="0" fillId="5" borderId="9" xfId="0" applyFont="1" applyFill="1" applyBorder="1" applyAlignment="1">
      <alignment horizontal="right" wrapText="1"/>
    </xf>
    <xf numFmtId="41" fontId="1" fillId="5" borderId="1" xfId="1" applyFont="1" applyFill="1" applyBorder="1" applyAlignment="1">
      <alignment horizontal="right" wrapText="1"/>
    </xf>
    <xf numFmtId="0" fontId="0" fillId="5" borderId="2" xfId="0" applyFont="1" applyFill="1" applyBorder="1"/>
    <xf numFmtId="0" fontId="0" fillId="5" borderId="3" xfId="0" applyFont="1" applyFill="1" applyBorder="1"/>
    <xf numFmtId="0" fontId="0" fillId="5" borderId="4" xfId="0" applyFont="1" applyFill="1" applyBorder="1" applyAlignment="1">
      <alignment wrapText="1"/>
    </xf>
    <xf numFmtId="0" fontId="0" fillId="5" borderId="14" xfId="0" applyFont="1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0" fillId="0" borderId="9" xfId="0" applyFont="1" applyBorder="1" applyAlignment="1">
      <alignment horizontal="right" wrapText="1"/>
    </xf>
    <xf numFmtId="41" fontId="0" fillId="0" borderId="0" xfId="1" applyFont="1" applyBorder="1" applyAlignment="1">
      <alignment horizontal="right" wrapText="1"/>
    </xf>
    <xf numFmtId="0" fontId="0" fillId="0" borderId="9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wrapText="1"/>
    </xf>
    <xf numFmtId="164" fontId="1" fillId="5" borderId="0" xfId="0" applyNumberFormat="1" applyFont="1" applyFill="1" applyBorder="1" applyAlignment="1">
      <alignment wrapText="1"/>
    </xf>
    <xf numFmtId="41" fontId="1" fillId="5" borderId="0" xfId="1" applyFont="1" applyFill="1" applyBorder="1" applyAlignment="1">
      <alignment horizontal="right" wrapText="1"/>
    </xf>
    <xf numFmtId="41" fontId="0" fillId="5" borderId="1" xfId="1" applyFont="1" applyFill="1" applyBorder="1" applyAlignment="1">
      <alignment horizontal="right" wrapText="1"/>
    </xf>
    <xf numFmtId="41" fontId="0" fillId="0" borderId="0" xfId="1" applyFont="1" applyFill="1" applyBorder="1" applyAlignment="1">
      <alignment horizontal="right" wrapText="1"/>
    </xf>
    <xf numFmtId="0" fontId="1" fillId="3" borderId="8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horizontal="center" vertical="top" wrapText="1"/>
    </xf>
    <xf numFmtId="164" fontId="1" fillId="5" borderId="6" xfId="0" applyNumberFormat="1" applyFont="1" applyFill="1" applyBorder="1" applyAlignment="1">
      <alignment wrapText="1"/>
    </xf>
    <xf numFmtId="164" fontId="1" fillId="5" borderId="11" xfId="0" applyNumberFormat="1" applyFont="1" applyFill="1" applyBorder="1" applyAlignment="1">
      <alignment wrapText="1"/>
    </xf>
    <xf numFmtId="0" fontId="0" fillId="5" borderId="4" xfId="0" quotePrefix="1" applyFont="1" applyFill="1" applyBorder="1"/>
    <xf numFmtId="165" fontId="0" fillId="5" borderId="4" xfId="2" applyNumberFormat="1" applyFont="1" applyFill="1" applyBorder="1" applyAlignment="1">
      <alignment horizontal="right" wrapText="1"/>
    </xf>
    <xf numFmtId="0" fontId="0" fillId="5" borderId="4" xfId="0" applyFont="1" applyFill="1" applyBorder="1" applyAlignment="1">
      <alignment horizontal="right" wrapText="1"/>
    </xf>
    <xf numFmtId="0" fontId="0" fillId="5" borderId="0" xfId="0" quotePrefix="1" applyFont="1" applyFill="1" applyBorder="1"/>
    <xf numFmtId="164" fontId="0" fillId="5" borderId="6" xfId="0" applyNumberFormat="1" applyFont="1" applyFill="1" applyBorder="1" applyAlignment="1">
      <alignment wrapText="1"/>
    </xf>
    <xf numFmtId="0" fontId="0" fillId="5" borderId="4" xfId="0" applyFont="1" applyFill="1" applyBorder="1"/>
    <xf numFmtId="0" fontId="0" fillId="5" borderId="1" xfId="0" quotePrefix="1" applyFont="1" applyFill="1" applyBorder="1" applyAlignment="1">
      <alignment wrapText="1"/>
    </xf>
    <xf numFmtId="165" fontId="0" fillId="5" borderId="4" xfId="2" applyNumberFormat="1" applyFont="1" applyFill="1" applyBorder="1" applyAlignment="1">
      <alignment wrapText="1"/>
    </xf>
    <xf numFmtId="165" fontId="7" fillId="5" borderId="0" xfId="2" applyNumberFormat="1" applyFont="1" applyFill="1" applyBorder="1" applyAlignment="1">
      <alignment horizontal="right" wrapText="1"/>
    </xf>
    <xf numFmtId="0" fontId="0" fillId="5" borderId="6" xfId="0" applyFont="1" applyFill="1" applyBorder="1" applyAlignment="1">
      <alignment horizontal="right" wrapText="1"/>
    </xf>
    <xf numFmtId="0" fontId="0" fillId="5" borderId="0" xfId="0" applyFont="1" applyFill="1" applyBorder="1" applyAlignment="1">
      <alignment horizontal="right" wrapText="1"/>
    </xf>
    <xf numFmtId="0" fontId="0" fillId="5" borderId="0" xfId="0" quotePrefix="1" applyFont="1" applyFill="1" applyBorder="1" applyAlignment="1">
      <alignment vertical="top"/>
    </xf>
    <xf numFmtId="165" fontId="0" fillId="5" borderId="0" xfId="2" applyNumberFormat="1" applyFont="1" applyFill="1" applyBorder="1" applyAlignment="1">
      <alignment horizontal="right" wrapText="1"/>
    </xf>
    <xf numFmtId="0" fontId="0" fillId="5" borderId="5" xfId="0" applyFont="1" applyFill="1" applyBorder="1" applyAlignment="1">
      <alignment wrapText="1"/>
    </xf>
    <xf numFmtId="0" fontId="0" fillId="5" borderId="1" xfId="0" applyFont="1" applyFill="1" applyBorder="1"/>
    <xf numFmtId="165" fontId="7" fillId="5" borderId="4" xfId="2" applyNumberFormat="1" applyFont="1" applyFill="1" applyBorder="1" applyAlignment="1">
      <alignment horizontal="right" wrapText="1"/>
    </xf>
    <xf numFmtId="0" fontId="0" fillId="5" borderId="6" xfId="0" applyFont="1" applyFill="1" applyBorder="1"/>
    <xf numFmtId="0" fontId="0" fillId="5" borderId="13" xfId="0" applyFont="1" applyFill="1" applyBorder="1"/>
    <xf numFmtId="0" fontId="0" fillId="5" borderId="5" xfId="0" applyFont="1" applyFill="1" applyBorder="1"/>
    <xf numFmtId="0" fontId="0" fillId="5" borderId="6" xfId="0" quotePrefix="1" applyFont="1" applyFill="1" applyBorder="1"/>
    <xf numFmtId="0" fontId="0" fillId="5" borderId="10" xfId="0" applyFont="1" applyFill="1" applyBorder="1" applyAlignment="1">
      <alignment wrapText="1"/>
    </xf>
    <xf numFmtId="164" fontId="1" fillId="5" borderId="10" xfId="0" applyNumberFormat="1" applyFont="1" applyFill="1" applyBorder="1" applyAlignment="1">
      <alignment wrapText="1"/>
    </xf>
    <xf numFmtId="41" fontId="0" fillId="5" borderId="5" xfId="1" applyFont="1" applyFill="1" applyBorder="1" applyAlignment="1">
      <alignment horizontal="right" wrapText="1"/>
    </xf>
    <xf numFmtId="164" fontId="0" fillId="5" borderId="10" xfId="0" applyNumberFormat="1" applyFont="1" applyFill="1" applyBorder="1" applyAlignment="1">
      <alignment wrapText="1"/>
    </xf>
    <xf numFmtId="0" fontId="0" fillId="5" borderId="0" xfId="0" applyFont="1" applyFill="1" applyBorder="1" applyAlignment="1">
      <alignment vertical="top" wrapText="1"/>
    </xf>
    <xf numFmtId="0" fontId="0" fillId="5" borderId="1" xfId="0" quotePrefix="1" applyFont="1" applyFill="1" applyBorder="1"/>
    <xf numFmtId="165" fontId="1" fillId="5" borderId="1" xfId="0" applyNumberFormat="1" applyFont="1" applyFill="1" applyBorder="1" applyAlignment="1">
      <alignment horizontal="right" wrapText="1"/>
    </xf>
    <xf numFmtId="165" fontId="0" fillId="5" borderId="1" xfId="0" applyNumberFormat="1" applyFont="1" applyFill="1" applyBorder="1" applyAlignment="1">
      <alignment horizontal="right" wrapText="1"/>
    </xf>
    <xf numFmtId="165" fontId="0" fillId="5" borderId="1" xfId="0" applyNumberFormat="1" applyFont="1" applyFill="1" applyBorder="1" applyAlignment="1">
      <alignment wrapText="1"/>
    </xf>
    <xf numFmtId="0" fontId="0" fillId="5" borderId="3" xfId="0" quotePrefix="1" applyFont="1" applyFill="1" applyBorder="1"/>
    <xf numFmtId="164" fontId="1" fillId="5" borderId="1" xfId="0" applyNumberFormat="1" applyFont="1" applyFill="1" applyBorder="1" applyAlignment="1">
      <alignment wrapText="1"/>
    </xf>
    <xf numFmtId="0" fontId="0" fillId="5" borderId="8" xfId="0" quotePrefix="1" applyFont="1" applyFill="1" applyBorder="1"/>
    <xf numFmtId="0" fontId="0" fillId="5" borderId="12" xfId="0" applyFont="1" applyFill="1" applyBorder="1" applyAlignment="1">
      <alignment wrapText="1"/>
    </xf>
    <xf numFmtId="164" fontId="0" fillId="5" borderId="1" xfId="0" applyNumberFormat="1" applyFont="1" applyFill="1" applyBorder="1" applyAlignment="1">
      <alignment wrapText="1"/>
    </xf>
    <xf numFmtId="0" fontId="0" fillId="5" borderId="1" xfId="0" applyFont="1" applyFill="1" applyBorder="1" applyAlignment="1">
      <alignment horizontal="left" wrapText="1"/>
    </xf>
    <xf numFmtId="0" fontId="0" fillId="5" borderId="6" xfId="0" quotePrefix="1" applyFont="1" applyFill="1" applyBorder="1" applyAlignment="1">
      <alignment wrapText="1"/>
    </xf>
    <xf numFmtId="43" fontId="0" fillId="5" borderId="1" xfId="2" applyFont="1" applyFill="1" applyBorder="1" applyAlignment="1">
      <alignment horizontal="right" wrapText="1"/>
    </xf>
    <xf numFmtId="165" fontId="1" fillId="5" borderId="1" xfId="2" applyNumberFormat="1" applyFont="1" applyFill="1" applyBorder="1" applyAlignment="1">
      <alignment horizontal="right" wrapText="1"/>
    </xf>
    <xf numFmtId="3" fontId="0" fillId="7" borderId="1" xfId="0" applyNumberFormat="1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right" wrapText="1"/>
    </xf>
    <xf numFmtId="0" fontId="0" fillId="5" borderId="9" xfId="0" quotePrefix="1" applyFont="1" applyFill="1" applyBorder="1"/>
    <xf numFmtId="37" fontId="3" fillId="5" borderId="35" xfId="0" applyNumberFormat="1" applyFont="1" applyFill="1" applyBorder="1" applyProtection="1"/>
    <xf numFmtId="37" fontId="3" fillId="5" borderId="33" xfId="0" applyNumberFormat="1" applyFont="1" applyFill="1" applyBorder="1" applyProtection="1"/>
    <xf numFmtId="37" fontId="9" fillId="5" borderId="33" xfId="0" applyNumberFormat="1" applyFont="1" applyFill="1" applyBorder="1" applyProtection="1"/>
    <xf numFmtId="37" fontId="9" fillId="5" borderId="42" xfId="0" applyNumberFormat="1" applyFont="1" applyFill="1" applyBorder="1" applyProtection="1"/>
    <xf numFmtId="37" fontId="3" fillId="5" borderId="34" xfId="0" applyNumberFormat="1" applyFont="1" applyFill="1" applyBorder="1" applyProtection="1"/>
    <xf numFmtId="37" fontId="9" fillId="5" borderId="34" xfId="0" applyNumberFormat="1" applyFont="1" applyFill="1" applyBorder="1" applyProtection="1"/>
    <xf numFmtId="0" fontId="0" fillId="5" borderId="0" xfId="0" applyFont="1" applyFill="1"/>
    <xf numFmtId="0" fontId="0" fillId="5" borderId="0" xfId="0" applyFill="1"/>
    <xf numFmtId="37" fontId="3" fillId="5" borderId="57" xfId="0" applyNumberFormat="1" applyFont="1" applyFill="1" applyBorder="1" applyProtection="1"/>
    <xf numFmtId="37" fontId="9" fillId="5" borderId="45" xfId="0" applyNumberFormat="1" applyFont="1" applyFill="1" applyBorder="1" applyProtection="1"/>
    <xf numFmtId="37" fontId="9" fillId="5" borderId="58" xfId="0" applyNumberFormat="1" applyFont="1" applyFill="1" applyBorder="1" applyProtection="1"/>
    <xf numFmtId="37" fontId="9" fillId="5" borderId="1" xfId="0" applyNumberFormat="1" applyFont="1" applyFill="1" applyBorder="1"/>
    <xf numFmtId="37" fontId="9" fillId="5" borderId="59" xfId="0" applyNumberFormat="1" applyFont="1" applyFill="1" applyBorder="1"/>
    <xf numFmtId="37" fontId="9" fillId="5" borderId="3" xfId="0" applyNumberFormat="1" applyFont="1" applyFill="1" applyBorder="1"/>
    <xf numFmtId="166" fontId="9" fillId="5" borderId="1" xfId="1" applyNumberFormat="1" applyFont="1" applyFill="1" applyBorder="1"/>
    <xf numFmtId="166" fontId="0" fillId="5" borderId="0" xfId="1" applyNumberFormat="1" applyFont="1" applyFill="1"/>
    <xf numFmtId="166" fontId="9" fillId="5" borderId="59" xfId="1" applyNumberFormat="1" applyFont="1" applyFill="1" applyBorder="1"/>
    <xf numFmtId="166" fontId="9" fillId="5" borderId="3" xfId="1" applyNumberFormat="1" applyFont="1" applyFill="1" applyBorder="1"/>
    <xf numFmtId="37" fontId="3" fillId="7" borderId="60" xfId="0" applyNumberFormat="1" applyFont="1" applyFill="1" applyBorder="1" applyAlignment="1" applyProtection="1">
      <alignment horizontal="center"/>
    </xf>
    <xf numFmtId="37" fontId="9" fillId="0" borderId="24" xfId="0" applyNumberFormat="1" applyFont="1" applyBorder="1"/>
    <xf numFmtId="37" fontId="9" fillId="0" borderId="3" xfId="0" applyNumberFormat="1" applyFont="1" applyBorder="1"/>
    <xf numFmtId="37" fontId="3" fillId="6" borderId="0" xfId="0" applyNumberFormat="1" applyFont="1" applyFill="1" applyBorder="1" applyProtection="1"/>
    <xf numFmtId="37" fontId="9" fillId="6" borderId="3" xfId="0" applyNumberFormat="1" applyFont="1" applyFill="1" applyBorder="1" applyProtection="1"/>
    <xf numFmtId="2" fontId="0" fillId="0" borderId="3" xfId="0" applyNumberFormat="1" applyFont="1" applyBorder="1"/>
    <xf numFmtId="37" fontId="9" fillId="6" borderId="17" xfId="0" applyNumberFormat="1" applyFont="1" applyFill="1" applyBorder="1"/>
    <xf numFmtId="37" fontId="3" fillId="7" borderId="1" xfId="0" applyNumberFormat="1" applyFont="1" applyFill="1" applyBorder="1" applyAlignment="1" applyProtection="1">
      <alignment horizontal="center"/>
    </xf>
    <xf numFmtId="37" fontId="3" fillId="5" borderId="3" xfId="0" applyNumberFormat="1" applyFont="1" applyFill="1" applyBorder="1" applyProtection="1"/>
    <xf numFmtId="37" fontId="3" fillId="5" borderId="45" xfId="0" applyNumberFormat="1" applyFont="1" applyFill="1" applyBorder="1" applyProtection="1"/>
    <xf numFmtId="37" fontId="9" fillId="5" borderId="2" xfId="0" applyNumberFormat="1" applyFont="1" applyFill="1" applyBorder="1"/>
    <xf numFmtId="37" fontId="9" fillId="5" borderId="13" xfId="0" applyNumberFormat="1" applyFont="1" applyFill="1" applyBorder="1"/>
    <xf numFmtId="37" fontId="9" fillId="5" borderId="14" xfId="0" applyNumberFormat="1" applyFont="1" applyFill="1" applyBorder="1"/>
    <xf numFmtId="37" fontId="3" fillId="5" borderId="1" xfId="0" applyNumberFormat="1" applyFont="1" applyFill="1" applyBorder="1" applyProtection="1"/>
    <xf numFmtId="37" fontId="9" fillId="5" borderId="5" xfId="0" applyNumberFormat="1" applyFont="1" applyFill="1" applyBorder="1" applyProtection="1"/>
    <xf numFmtId="37" fontId="9" fillId="5" borderId="3" xfId="0" applyNumberFormat="1" applyFont="1" applyFill="1" applyBorder="1" applyProtection="1"/>
    <xf numFmtId="37" fontId="0" fillId="0" borderId="1" xfId="0" applyNumberFormat="1" applyFont="1" applyBorder="1"/>
    <xf numFmtId="0" fontId="13" fillId="0" borderId="0" xfId="0" applyFont="1"/>
    <xf numFmtId="37" fontId="9" fillId="5" borderId="0" xfId="0" applyNumberFormat="1" applyFont="1" applyFill="1" applyBorder="1"/>
    <xf numFmtId="37" fontId="3" fillId="6" borderId="61" xfId="0" applyNumberFormat="1" applyFont="1" applyFill="1" applyBorder="1" applyProtection="1"/>
    <xf numFmtId="37" fontId="3" fillId="6" borderId="45" xfId="0" applyNumberFormat="1" applyFont="1" applyFill="1" applyBorder="1" applyProtection="1"/>
    <xf numFmtId="37" fontId="9" fillId="6" borderId="45" xfId="0" applyNumberFormat="1" applyFont="1" applyFill="1" applyBorder="1" applyProtection="1"/>
    <xf numFmtId="37" fontId="9" fillId="6" borderId="62" xfId="0" applyNumberFormat="1" applyFont="1" applyFill="1" applyBorder="1" applyProtection="1"/>
    <xf numFmtId="37" fontId="9" fillId="6" borderId="25" xfId="0" applyNumberFormat="1" applyFont="1" applyFill="1" applyBorder="1"/>
    <xf numFmtId="37" fontId="9" fillId="6" borderId="23" xfId="0" applyNumberFormat="1" applyFont="1" applyFill="1" applyBorder="1"/>
    <xf numFmtId="37" fontId="3" fillId="5" borderId="4" xfId="0" applyNumberFormat="1" applyFont="1" applyFill="1" applyBorder="1" applyProtection="1"/>
    <xf numFmtId="37" fontId="9" fillId="5" borderId="4" xfId="0" applyNumberFormat="1" applyFont="1" applyFill="1" applyBorder="1" applyProtection="1"/>
    <xf numFmtId="37" fontId="9" fillId="5" borderId="4" xfId="0" applyNumberFormat="1" applyFont="1" applyFill="1" applyBorder="1"/>
    <xf numFmtId="37" fontId="9" fillId="5" borderId="5" xfId="0" applyNumberFormat="1" applyFont="1" applyFill="1" applyBorder="1"/>
    <xf numFmtId="166" fontId="14" fillId="5" borderId="0" xfId="0" applyNumberFormat="1" applyFont="1" applyFill="1"/>
    <xf numFmtId="37" fontId="3" fillId="0" borderId="34" xfId="0" applyNumberFormat="1" applyFont="1" applyBorder="1" applyProtection="1"/>
    <xf numFmtId="37" fontId="3" fillId="6" borderId="57" xfId="0" applyNumberFormat="1" applyFont="1" applyFill="1" applyBorder="1" applyProtection="1"/>
    <xf numFmtId="37" fontId="9" fillId="0" borderId="63" xfId="0" applyNumberFormat="1" applyFont="1" applyBorder="1" applyProtection="1"/>
    <xf numFmtId="37" fontId="9" fillId="0" borderId="59" xfId="0" applyNumberFormat="1" applyFont="1" applyBorder="1" applyProtection="1"/>
    <xf numFmtId="41" fontId="1" fillId="0" borderId="5" xfId="0" applyNumberFormat="1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41" fontId="0" fillId="0" borderId="2" xfId="1" applyFont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0" fontId="1" fillId="0" borderId="0" xfId="0" applyFont="1" applyAlignment="1">
      <alignment horizontal="left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0" fillId="5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5" borderId="8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0" fillId="5" borderId="5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0" fontId="0" fillId="5" borderId="7" xfId="0" applyFont="1" applyFill="1" applyBorder="1" applyAlignment="1">
      <alignment wrapText="1"/>
    </xf>
    <xf numFmtId="0" fontId="0" fillId="5" borderId="12" xfId="0" applyFont="1" applyFill="1" applyBorder="1" applyAlignment="1">
      <alignment wrapText="1"/>
    </xf>
    <xf numFmtId="0" fontId="0" fillId="5" borderId="4" xfId="0" applyFont="1" applyFill="1" applyBorder="1" applyAlignment="1">
      <alignment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left" vertical="top" wrapText="1"/>
    </xf>
    <xf numFmtId="0" fontId="0" fillId="5" borderId="5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7" fontId="8" fillId="0" borderId="0" xfId="0" applyNumberFormat="1" applyFont="1" applyAlignment="1">
      <alignment horizontal="left"/>
    </xf>
    <xf numFmtId="37" fontId="4" fillId="0" borderId="0" xfId="0" applyNumberFormat="1" applyFont="1" applyAlignment="1" applyProtection="1">
      <alignment horizontal="left"/>
    </xf>
    <xf numFmtId="37" fontId="9" fillId="7" borderId="24" xfId="0" applyNumberFormat="1" applyFont="1" applyFill="1" applyBorder="1" applyAlignment="1">
      <alignment horizontal="center"/>
    </xf>
    <xf numFmtId="37" fontId="9" fillId="7" borderId="25" xfId="0" applyNumberFormat="1" applyFont="1" applyFill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9" fillId="7" borderId="40" xfId="0" applyNumberFormat="1" applyFont="1" applyFill="1" applyBorder="1" applyAlignment="1">
      <alignment horizontal="center"/>
    </xf>
    <xf numFmtId="37" fontId="9" fillId="5" borderId="0" xfId="0" applyNumberFormat="1" applyFont="1" applyFill="1" applyBorder="1" applyAlignment="1">
      <alignment horizontal="center"/>
    </xf>
    <xf numFmtId="37" fontId="4" fillId="0" borderId="0" xfId="0" applyNumberFormat="1" applyFont="1" applyAlignment="1" applyProtection="1">
      <alignment horizont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ahrudin\Documents\Pak%20Syahrudin\DATA%20UDIN%20PALEMBANG\Penelitian%20revbun\9.%20CF-revbun%20karet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aya (2)"/>
      <sheetName val="CF (2)"/>
      <sheetName val="CF-sens1 (2)"/>
      <sheetName val="CF-sens2 (2)"/>
      <sheetName val="CF-sens3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1"/>
  <sheetViews>
    <sheetView topLeftCell="A13" workbookViewId="0">
      <selection activeCell="A17" sqref="A17"/>
    </sheetView>
  </sheetViews>
  <sheetFormatPr defaultRowHeight="15"/>
  <cols>
    <col min="2" max="2" width="5.5703125" customWidth="1"/>
    <col min="3" max="3" width="33.5703125" customWidth="1"/>
    <col min="4" max="4" width="3.28515625" customWidth="1"/>
    <col min="5" max="11" width="14.7109375" customWidth="1"/>
  </cols>
  <sheetData>
    <row r="1" spans="2:11">
      <c r="B1" t="s">
        <v>9</v>
      </c>
    </row>
    <row r="2" spans="2:11">
      <c r="B2" s="2" t="s">
        <v>0</v>
      </c>
      <c r="D2" s="2"/>
    </row>
    <row r="3" spans="2:11">
      <c r="B3" t="s">
        <v>1</v>
      </c>
      <c r="D3" s="27" t="s">
        <v>7</v>
      </c>
      <c r="E3" t="s">
        <v>78</v>
      </c>
    </row>
    <row r="4" spans="2:11">
      <c r="B4" t="s">
        <v>2</v>
      </c>
      <c r="D4" s="27" t="s">
        <v>7</v>
      </c>
      <c r="E4" t="s">
        <v>323</v>
      </c>
    </row>
    <row r="5" spans="2:11">
      <c r="B5" t="s">
        <v>94</v>
      </c>
      <c r="D5" s="27" t="s">
        <v>7</v>
      </c>
      <c r="E5" t="s">
        <v>95</v>
      </c>
    </row>
    <row r="6" spans="2:11">
      <c r="D6" s="27"/>
    </row>
    <row r="7" spans="2:11">
      <c r="B7" s="2" t="s">
        <v>324</v>
      </c>
      <c r="C7" s="2"/>
      <c r="D7" s="2"/>
      <c r="E7" s="2"/>
    </row>
    <row r="9" spans="2:11">
      <c r="B9" s="13" t="s">
        <v>60</v>
      </c>
      <c r="C9" s="400" t="s">
        <v>15</v>
      </c>
      <c r="D9" s="400"/>
      <c r="E9" s="13" t="s">
        <v>96</v>
      </c>
      <c r="F9" s="13" t="s">
        <v>97</v>
      </c>
      <c r="G9" s="13" t="s">
        <v>98</v>
      </c>
      <c r="H9" s="13" t="s">
        <v>99</v>
      </c>
      <c r="I9" s="13" t="s">
        <v>100</v>
      </c>
      <c r="J9" s="13" t="s">
        <v>101</v>
      </c>
      <c r="K9" s="13" t="s">
        <v>102</v>
      </c>
    </row>
    <row r="10" spans="2:11">
      <c r="B10" s="8" t="s">
        <v>18</v>
      </c>
      <c r="C10" s="399" t="s">
        <v>338</v>
      </c>
      <c r="D10" s="399"/>
      <c r="E10" s="61">
        <v>500</v>
      </c>
      <c r="F10" s="61">
        <v>550</v>
      </c>
      <c r="G10" s="61">
        <v>600</v>
      </c>
      <c r="H10" s="61">
        <v>800</v>
      </c>
      <c r="I10" s="61">
        <v>900</v>
      </c>
      <c r="J10" s="61">
        <v>1000</v>
      </c>
      <c r="K10" s="62">
        <v>1100</v>
      </c>
    </row>
    <row r="11" spans="2:11">
      <c r="B11" s="8" t="s">
        <v>21</v>
      </c>
      <c r="C11" s="399" t="s">
        <v>340</v>
      </c>
      <c r="D11" s="399"/>
      <c r="E11" s="79">
        <v>75000</v>
      </c>
      <c r="F11" s="61">
        <f t="shared" ref="F11:K11" si="0">+E11</f>
        <v>75000</v>
      </c>
      <c r="G11" s="61">
        <f t="shared" si="0"/>
        <v>75000</v>
      </c>
      <c r="H11" s="61">
        <f t="shared" si="0"/>
        <v>75000</v>
      </c>
      <c r="I11" s="61">
        <f t="shared" si="0"/>
        <v>75000</v>
      </c>
      <c r="J11" s="61">
        <f t="shared" si="0"/>
        <v>75000</v>
      </c>
      <c r="K11" s="61">
        <f t="shared" si="0"/>
        <v>75000</v>
      </c>
    </row>
    <row r="12" spans="2:11">
      <c r="B12" s="60" t="s">
        <v>23</v>
      </c>
      <c r="C12" s="399" t="s">
        <v>113</v>
      </c>
      <c r="D12" s="399"/>
      <c r="E12" s="61">
        <f>+E11*E10</f>
        <v>37500000</v>
      </c>
      <c r="F12" s="61">
        <f t="shared" ref="F12:K12" si="1">+F11*F10</f>
        <v>41250000</v>
      </c>
      <c r="G12" s="61">
        <f t="shared" si="1"/>
        <v>45000000</v>
      </c>
      <c r="H12" s="61">
        <f t="shared" si="1"/>
        <v>60000000</v>
      </c>
      <c r="I12" s="61">
        <f t="shared" si="1"/>
        <v>67500000</v>
      </c>
      <c r="J12" s="61">
        <f t="shared" si="1"/>
        <v>75000000</v>
      </c>
      <c r="K12" s="61">
        <f t="shared" si="1"/>
        <v>82500000</v>
      </c>
    </row>
    <row r="13" spans="2:11">
      <c r="B13" s="60" t="s">
        <v>27</v>
      </c>
      <c r="C13" s="399" t="s">
        <v>307</v>
      </c>
      <c r="D13" s="399"/>
      <c r="E13" s="260"/>
      <c r="F13" s="261"/>
      <c r="G13" s="261"/>
      <c r="H13" s="261"/>
      <c r="I13" s="261"/>
      <c r="J13" s="256"/>
      <c r="K13" s="61">
        <f>SUM(E10:K10)</f>
        <v>5450</v>
      </c>
    </row>
    <row r="14" spans="2:11">
      <c r="B14" s="71" t="s">
        <v>301</v>
      </c>
    </row>
    <row r="17" spans="2:11">
      <c r="B17" s="2" t="s">
        <v>325</v>
      </c>
      <c r="C17" s="2"/>
      <c r="D17" s="2"/>
      <c r="E17" s="2"/>
    </row>
    <row r="19" spans="2:11">
      <c r="B19" s="13" t="s">
        <v>60</v>
      </c>
      <c r="C19" s="400" t="s">
        <v>15</v>
      </c>
      <c r="D19" s="400"/>
      <c r="E19" s="13" t="s">
        <v>103</v>
      </c>
      <c r="F19" s="13" t="s">
        <v>104</v>
      </c>
      <c r="G19" s="13" t="s">
        <v>105</v>
      </c>
      <c r="H19" s="13" t="s">
        <v>106</v>
      </c>
      <c r="I19" s="13" t="s">
        <v>107</v>
      </c>
      <c r="J19" s="13" t="s">
        <v>108</v>
      </c>
      <c r="K19" s="13" t="s">
        <v>109</v>
      </c>
    </row>
    <row r="20" spans="2:11">
      <c r="B20" s="8" t="s">
        <v>18</v>
      </c>
      <c r="C20" s="399" t="s">
        <v>338</v>
      </c>
      <c r="D20" s="399"/>
      <c r="E20" s="262">
        <v>1200</v>
      </c>
      <c r="F20" s="61">
        <v>1300</v>
      </c>
      <c r="G20" s="61">
        <v>1200</v>
      </c>
      <c r="H20" s="61">
        <v>1100</v>
      </c>
      <c r="I20" s="61">
        <v>900</v>
      </c>
      <c r="J20" s="61">
        <v>700</v>
      </c>
      <c r="K20" s="62">
        <v>500</v>
      </c>
    </row>
    <row r="21" spans="2:11">
      <c r="B21" s="8" t="s">
        <v>21</v>
      </c>
      <c r="C21" s="399" t="s">
        <v>340</v>
      </c>
      <c r="D21" s="399"/>
      <c r="E21" s="79">
        <f>+E11</f>
        <v>75000</v>
      </c>
      <c r="F21" s="61">
        <f t="shared" ref="F21:K21" si="2">+E21</f>
        <v>75000</v>
      </c>
      <c r="G21" s="61">
        <f t="shared" si="2"/>
        <v>75000</v>
      </c>
      <c r="H21" s="61">
        <f t="shared" si="2"/>
        <v>75000</v>
      </c>
      <c r="I21" s="61">
        <f t="shared" si="2"/>
        <v>75000</v>
      </c>
      <c r="J21" s="61">
        <f t="shared" si="2"/>
        <v>75000</v>
      </c>
      <c r="K21" s="61">
        <f t="shared" si="2"/>
        <v>75000</v>
      </c>
    </row>
    <row r="22" spans="2:11">
      <c r="B22" s="60" t="s">
        <v>23</v>
      </c>
      <c r="C22" s="399" t="s">
        <v>113</v>
      </c>
      <c r="D22" s="399"/>
      <c r="E22" s="61">
        <f>+E21*E20</f>
        <v>90000000</v>
      </c>
      <c r="F22" s="61">
        <f t="shared" ref="F22" si="3">+F21*F20</f>
        <v>97500000</v>
      </c>
      <c r="G22" s="61">
        <f t="shared" ref="G22" si="4">+G21*G20</f>
        <v>90000000</v>
      </c>
      <c r="H22" s="61">
        <f t="shared" ref="H22" si="5">+H21*H20</f>
        <v>82500000</v>
      </c>
      <c r="I22" s="61">
        <f t="shared" ref="I22" si="6">+I21*I20</f>
        <v>67500000</v>
      </c>
      <c r="J22" s="61">
        <f t="shared" ref="J22" si="7">+J21*J20</f>
        <v>52500000</v>
      </c>
      <c r="K22" s="61">
        <f t="shared" ref="K22" si="8">+K21*K20</f>
        <v>37500000</v>
      </c>
    </row>
    <row r="23" spans="2:11">
      <c r="B23" s="60" t="s">
        <v>27</v>
      </c>
      <c r="C23" s="399" t="s">
        <v>307</v>
      </c>
      <c r="D23" s="399"/>
      <c r="E23" s="260"/>
      <c r="F23" s="261"/>
      <c r="G23" s="261"/>
      <c r="H23" s="261"/>
      <c r="I23" s="261"/>
      <c r="J23" s="256"/>
      <c r="K23" s="61">
        <f>SUM(E20:K20)</f>
        <v>6900</v>
      </c>
    </row>
    <row r="25" spans="2:11">
      <c r="B25" s="2" t="s">
        <v>326</v>
      </c>
      <c r="C25" s="2"/>
      <c r="D25" s="2"/>
      <c r="E25" s="2"/>
    </row>
    <row r="27" spans="2:11">
      <c r="B27" s="13" t="s">
        <v>60</v>
      </c>
      <c r="C27" s="400" t="s">
        <v>15</v>
      </c>
      <c r="D27" s="400"/>
      <c r="E27" s="263" t="s">
        <v>110</v>
      </c>
      <c r="F27" s="13" t="s">
        <v>111</v>
      </c>
      <c r="G27" s="13" t="s">
        <v>112</v>
      </c>
      <c r="H27" s="257" t="s">
        <v>8</v>
      </c>
      <c r="I27" s="395" t="s">
        <v>307</v>
      </c>
      <c r="J27" s="394">
        <f>+K13+K23+G31</f>
        <v>15450</v>
      </c>
      <c r="K27" s="255" t="s">
        <v>342</v>
      </c>
    </row>
    <row r="28" spans="2:11">
      <c r="B28" s="8" t="s">
        <v>18</v>
      </c>
      <c r="C28" s="399" t="s">
        <v>338</v>
      </c>
      <c r="D28" s="399"/>
      <c r="E28" s="262">
        <v>1200</v>
      </c>
      <c r="F28" s="61">
        <v>1000</v>
      </c>
      <c r="G28" s="61">
        <v>900</v>
      </c>
      <c r="H28" s="258" t="s">
        <v>8</v>
      </c>
      <c r="I28" s="396" t="s">
        <v>308</v>
      </c>
      <c r="J28" s="259" t="s">
        <v>8</v>
      </c>
      <c r="K28" s="259" t="s">
        <v>8</v>
      </c>
    </row>
    <row r="29" spans="2:11">
      <c r="B29" s="8" t="s">
        <v>21</v>
      </c>
      <c r="C29" s="399" t="s">
        <v>340</v>
      </c>
      <c r="D29" s="399"/>
      <c r="E29" s="79">
        <f>+E21</f>
        <v>75000</v>
      </c>
      <c r="F29" s="61">
        <f t="shared" ref="F29:K29" si="9">+E29</f>
        <v>75000</v>
      </c>
      <c r="G29" s="61">
        <f t="shared" si="9"/>
        <v>75000</v>
      </c>
      <c r="H29" s="258" t="s">
        <v>8</v>
      </c>
      <c r="I29" s="259" t="s">
        <v>8</v>
      </c>
      <c r="J29" s="259" t="s">
        <v>8</v>
      </c>
      <c r="K29" s="259" t="str">
        <f t="shared" si="9"/>
        <v/>
      </c>
    </row>
    <row r="30" spans="2:11">
      <c r="B30" s="60" t="s">
        <v>23</v>
      </c>
      <c r="C30" s="399" t="s">
        <v>113</v>
      </c>
      <c r="D30" s="399"/>
      <c r="E30" s="61">
        <f t="shared" ref="E30" si="10">+E29*E28</f>
        <v>90000000</v>
      </c>
      <c r="F30" s="61">
        <f t="shared" ref="F30" si="11">+F29*F28</f>
        <v>75000000</v>
      </c>
      <c r="G30" s="61">
        <f t="shared" ref="G30" si="12">+G29*G28</f>
        <v>67500000</v>
      </c>
      <c r="H30" s="258" t="s">
        <v>8</v>
      </c>
      <c r="I30" s="259" t="s">
        <v>8</v>
      </c>
      <c r="J30" s="259" t="s">
        <v>8</v>
      </c>
      <c r="K30" s="259" t="s">
        <v>211</v>
      </c>
    </row>
    <row r="31" spans="2:11">
      <c r="B31" s="60" t="s">
        <v>27</v>
      </c>
      <c r="C31" s="399" t="s">
        <v>307</v>
      </c>
      <c r="D31" s="399"/>
      <c r="E31" s="10"/>
      <c r="F31" s="8"/>
      <c r="G31" s="264">
        <f>SUM(E28:G28)</f>
        <v>3100</v>
      </c>
    </row>
  </sheetData>
  <mergeCells count="15">
    <mergeCell ref="C9:D9"/>
    <mergeCell ref="C10:D10"/>
    <mergeCell ref="C11:D11"/>
    <mergeCell ref="C12:D12"/>
    <mergeCell ref="C19:D19"/>
    <mergeCell ref="C13:D13"/>
    <mergeCell ref="C28:D28"/>
    <mergeCell ref="C29:D29"/>
    <mergeCell ref="C30:D30"/>
    <mergeCell ref="C31:D31"/>
    <mergeCell ref="C20:D20"/>
    <mergeCell ref="C21:D21"/>
    <mergeCell ref="C22:D22"/>
    <mergeCell ref="C27:D27"/>
    <mergeCell ref="C23:D2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R24"/>
  <sheetViews>
    <sheetView topLeftCell="A7" zoomScale="90" zoomScaleNormal="90" workbookViewId="0">
      <selection activeCell="A2" sqref="A2"/>
    </sheetView>
  </sheetViews>
  <sheetFormatPr defaultRowHeight="1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2" spans="2:18">
      <c r="B2" s="2" t="s">
        <v>11</v>
      </c>
      <c r="C2" s="2"/>
      <c r="D2" s="42" t="s">
        <v>8</v>
      </c>
      <c r="E2" s="1"/>
      <c r="F2" s="1"/>
      <c r="G2" s="1"/>
      <c r="H2" s="1"/>
    </row>
    <row r="3" spans="2:18">
      <c r="B3" s="1" t="s">
        <v>1</v>
      </c>
      <c r="C3" s="1"/>
      <c r="D3" s="43" t="s">
        <v>7</v>
      </c>
      <c r="G3" t="s">
        <v>78</v>
      </c>
      <c r="I3" s="1"/>
      <c r="J3" s="1"/>
      <c r="Q3" s="1"/>
      <c r="R3" s="1"/>
    </row>
    <row r="4" spans="2:18">
      <c r="B4" s="1" t="s">
        <v>2</v>
      </c>
      <c r="C4" s="1"/>
      <c r="D4" s="43" t="s">
        <v>7</v>
      </c>
      <c r="G4" t="s">
        <v>323</v>
      </c>
      <c r="I4" s="1"/>
      <c r="J4" s="1"/>
      <c r="Q4" s="1"/>
      <c r="R4" s="1"/>
    </row>
    <row r="5" spans="2:18">
      <c r="B5" t="s">
        <v>94</v>
      </c>
      <c r="D5" s="27" t="s">
        <v>7</v>
      </c>
      <c r="E5" t="s">
        <v>95</v>
      </c>
      <c r="G5" t="s">
        <v>95</v>
      </c>
      <c r="I5" s="1"/>
      <c r="J5" s="1"/>
      <c r="Q5" s="1"/>
      <c r="R5" s="1"/>
    </row>
    <row r="6" spans="2:18">
      <c r="B6" s="1"/>
      <c r="C6" s="1"/>
      <c r="D6" s="1"/>
      <c r="E6" s="1"/>
      <c r="F6" s="1"/>
      <c r="G6" s="1"/>
      <c r="H6" s="1"/>
    </row>
    <row r="7" spans="2:18">
      <c r="B7" s="44" t="s">
        <v>3</v>
      </c>
      <c r="C7" s="72" t="s">
        <v>12</v>
      </c>
      <c r="D7" s="54"/>
      <c r="F7" s="54"/>
      <c r="G7" s="45" t="s">
        <v>10</v>
      </c>
      <c r="H7" s="46" t="s">
        <v>4</v>
      </c>
    </row>
    <row r="8" spans="2:18">
      <c r="B8" s="73" t="s">
        <v>256</v>
      </c>
      <c r="C8" s="29" t="s">
        <v>302</v>
      </c>
      <c r="D8" s="65"/>
      <c r="F8" s="65"/>
      <c r="G8" s="45"/>
      <c r="H8" s="46"/>
    </row>
    <row r="9" spans="2:18">
      <c r="B9" s="74" t="s">
        <v>18</v>
      </c>
      <c r="C9" s="30" t="s">
        <v>303</v>
      </c>
      <c r="D9" s="31"/>
      <c r="E9" s="51"/>
      <c r="F9" s="31"/>
      <c r="G9" s="75">
        <v>70</v>
      </c>
      <c r="H9" s="59" t="s">
        <v>57</v>
      </c>
    </row>
    <row r="10" spans="2:18">
      <c r="B10" s="38" t="s">
        <v>21</v>
      </c>
      <c r="C10" s="32" t="s">
        <v>79</v>
      </c>
      <c r="D10" s="33"/>
      <c r="F10" s="33"/>
      <c r="G10" s="35">
        <v>32</v>
      </c>
      <c r="H10" s="55" t="s">
        <v>57</v>
      </c>
    </row>
    <row r="11" spans="2:18">
      <c r="B11" s="37" t="s">
        <v>23</v>
      </c>
      <c r="C11" s="30" t="s">
        <v>304</v>
      </c>
      <c r="D11" s="31"/>
      <c r="F11" s="31"/>
      <c r="G11" s="36" t="s">
        <v>8</v>
      </c>
      <c r="H11" s="53" t="s">
        <v>8</v>
      </c>
    </row>
    <row r="12" spans="2:18">
      <c r="B12" s="37"/>
      <c r="C12" s="154" t="s">
        <v>285</v>
      </c>
      <c r="D12" s="47"/>
      <c r="F12" s="47"/>
      <c r="G12" s="75">
        <v>57</v>
      </c>
      <c r="H12" s="53" t="s">
        <v>57</v>
      </c>
    </row>
    <row r="13" spans="2:18">
      <c r="B13" s="37"/>
      <c r="C13" s="154" t="s">
        <v>286</v>
      </c>
      <c r="D13" s="47"/>
      <c r="F13" s="47"/>
      <c r="G13" s="75">
        <v>12</v>
      </c>
      <c r="H13" s="53" t="s">
        <v>57</v>
      </c>
    </row>
    <row r="14" spans="2:18">
      <c r="B14" s="37"/>
      <c r="C14" s="154" t="s">
        <v>287</v>
      </c>
      <c r="D14" s="47"/>
      <c r="F14" s="47"/>
      <c r="G14" s="75">
        <v>36</v>
      </c>
      <c r="H14" s="53" t="s">
        <v>57</v>
      </c>
    </row>
    <row r="15" spans="2:18">
      <c r="B15" s="66"/>
      <c r="C15" s="40" t="s">
        <v>258</v>
      </c>
      <c r="D15" s="34"/>
      <c r="F15" s="34"/>
      <c r="G15" s="41">
        <f>SUM(G9:G14)</f>
        <v>207</v>
      </c>
      <c r="H15" s="56" t="s">
        <v>57</v>
      </c>
    </row>
    <row r="16" spans="2:18">
      <c r="B16" s="66" t="s">
        <v>257</v>
      </c>
      <c r="C16" s="67" t="s">
        <v>305</v>
      </c>
      <c r="D16" s="68"/>
      <c r="F16" s="68"/>
      <c r="G16" s="69"/>
      <c r="H16" s="70"/>
    </row>
    <row r="17" spans="2:8">
      <c r="B17" s="66" t="s">
        <v>18</v>
      </c>
      <c r="C17" s="155" t="s">
        <v>293</v>
      </c>
      <c r="D17" s="68"/>
      <c r="F17" s="68"/>
      <c r="G17" s="69">
        <v>135</v>
      </c>
      <c r="H17" s="56" t="s">
        <v>57</v>
      </c>
    </row>
    <row r="18" spans="2:8">
      <c r="B18" s="66" t="s">
        <v>21</v>
      </c>
      <c r="C18" s="155" t="s">
        <v>235</v>
      </c>
      <c r="D18" s="68"/>
      <c r="F18" s="68"/>
      <c r="G18" s="69">
        <v>70</v>
      </c>
      <c r="H18" s="56" t="s">
        <v>57</v>
      </c>
    </row>
    <row r="19" spans="2:8">
      <c r="B19" s="66" t="s">
        <v>23</v>
      </c>
      <c r="C19" s="155" t="s">
        <v>294</v>
      </c>
      <c r="D19" s="68"/>
      <c r="F19" s="68"/>
      <c r="G19" s="69">
        <v>150</v>
      </c>
      <c r="H19" s="56" t="s">
        <v>57</v>
      </c>
    </row>
    <row r="20" spans="2:8">
      <c r="B20" s="66" t="s">
        <v>27</v>
      </c>
      <c r="C20" s="155" t="s">
        <v>306</v>
      </c>
      <c r="D20" s="68"/>
      <c r="F20" s="68"/>
      <c r="G20" s="156">
        <v>1485</v>
      </c>
      <c r="H20" s="56" t="s">
        <v>57</v>
      </c>
    </row>
    <row r="21" spans="2:8">
      <c r="B21" s="66"/>
      <c r="C21" s="40" t="s">
        <v>259</v>
      </c>
      <c r="D21" s="68"/>
      <c r="F21" s="68"/>
      <c r="G21" s="156">
        <f>SUM(G17:G20)</f>
        <v>1840</v>
      </c>
      <c r="H21" s="56" t="s">
        <v>57</v>
      </c>
    </row>
    <row r="22" spans="2:8">
      <c r="B22" s="39"/>
      <c r="C22" s="40" t="s">
        <v>260</v>
      </c>
      <c r="D22" s="34"/>
      <c r="F22" s="34"/>
      <c r="G22" s="157">
        <f>+G21+G15</f>
        <v>2047</v>
      </c>
      <c r="H22" s="56" t="s">
        <v>57</v>
      </c>
    </row>
    <row r="23" spans="2:8">
      <c r="B23" s="245" t="s">
        <v>291</v>
      </c>
      <c r="C23" s="245"/>
      <c r="D23" s="245"/>
      <c r="E23" s="245"/>
      <c r="F23" s="245"/>
      <c r="G23" s="245"/>
      <c r="H23" s="245"/>
    </row>
    <row r="24" spans="2:8">
      <c r="B24" s="245" t="s">
        <v>292</v>
      </c>
      <c r="C24" s="245"/>
      <c r="D24" s="245"/>
      <c r="E24" s="245"/>
      <c r="F24" s="245"/>
      <c r="G24" s="245"/>
      <c r="H24" s="24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39"/>
  <sheetViews>
    <sheetView zoomScale="60" zoomScaleNormal="60" workbookViewId="0"/>
  </sheetViews>
  <sheetFormatPr defaultRowHeight="15"/>
  <cols>
    <col min="2" max="2" width="5.5703125" customWidth="1"/>
    <col min="3" max="3" width="4.42578125" customWidth="1"/>
    <col min="4" max="4" width="26.42578125" customWidth="1"/>
    <col min="5" max="5" width="2.7109375" customWidth="1"/>
    <col min="6" max="6" width="19.140625" customWidth="1"/>
    <col min="7" max="7" width="18.28515625" customWidth="1"/>
  </cols>
  <sheetData>
    <row r="2" spans="2:7">
      <c r="B2" s="2" t="s">
        <v>13</v>
      </c>
      <c r="C2" s="2"/>
      <c r="D2" s="2"/>
      <c r="E2" s="42" t="s">
        <v>8</v>
      </c>
      <c r="F2" s="1"/>
      <c r="G2" s="1"/>
    </row>
    <row r="3" spans="2:7">
      <c r="B3" s="1" t="s">
        <v>1</v>
      </c>
      <c r="C3" s="1"/>
      <c r="D3" s="1"/>
      <c r="E3" s="43" t="s">
        <v>7</v>
      </c>
      <c r="F3" t="s">
        <v>78</v>
      </c>
      <c r="G3" s="1"/>
    </row>
    <row r="4" spans="2:7">
      <c r="B4" s="1" t="s">
        <v>2</v>
      </c>
      <c r="C4" s="1"/>
      <c r="D4" s="1"/>
      <c r="E4" s="43" t="s">
        <v>7</v>
      </c>
      <c r="F4" t="s">
        <v>323</v>
      </c>
      <c r="G4" s="1"/>
    </row>
    <row r="5" spans="2:7">
      <c r="B5" s="1" t="s">
        <v>94</v>
      </c>
      <c r="C5" s="1"/>
      <c r="D5" s="1"/>
      <c r="E5" s="1"/>
      <c r="F5" t="s">
        <v>95</v>
      </c>
      <c r="G5" s="1"/>
    </row>
    <row r="6" spans="2:7">
      <c r="B6" s="1"/>
      <c r="C6" s="1"/>
      <c r="D6" s="1"/>
      <c r="E6" s="1"/>
      <c r="F6" s="1"/>
      <c r="G6" s="1"/>
    </row>
    <row r="7" spans="2:7">
      <c r="B7" s="13" t="s">
        <v>14</v>
      </c>
      <c r="C7" s="57" t="s">
        <v>15</v>
      </c>
      <c r="D7" s="58"/>
      <c r="E7" s="58"/>
      <c r="F7" s="13" t="s">
        <v>16</v>
      </c>
      <c r="G7" s="13" t="s">
        <v>17</v>
      </c>
    </row>
    <row r="8" spans="2:7">
      <c r="B8" s="84" t="s">
        <v>18</v>
      </c>
      <c r="C8" s="85" t="s">
        <v>19</v>
      </c>
      <c r="D8" s="21"/>
      <c r="E8" s="21"/>
      <c r="F8" s="84">
        <v>20</v>
      </c>
      <c r="G8" s="86" t="s">
        <v>20</v>
      </c>
    </row>
    <row r="9" spans="2:7">
      <c r="B9" s="87" t="s">
        <v>21</v>
      </c>
      <c r="C9" s="88" t="s">
        <v>24</v>
      </c>
      <c r="D9" s="89"/>
      <c r="E9" s="89"/>
      <c r="F9" s="90">
        <v>12</v>
      </c>
      <c r="G9" s="91" t="s">
        <v>22</v>
      </c>
    </row>
    <row r="10" spans="2:7">
      <c r="B10" s="92" t="s">
        <v>23</v>
      </c>
      <c r="C10" s="93" t="s">
        <v>25</v>
      </c>
      <c r="D10" s="94"/>
      <c r="E10" s="94"/>
      <c r="F10" s="95">
        <v>30</v>
      </c>
      <c r="G10" s="96" t="s">
        <v>26</v>
      </c>
    </row>
    <row r="11" spans="2:7">
      <c r="B11" s="87" t="s">
        <v>27</v>
      </c>
      <c r="C11" s="88" t="s">
        <v>83</v>
      </c>
      <c r="D11" s="89"/>
      <c r="E11" s="89"/>
      <c r="F11" s="97">
        <v>20</v>
      </c>
      <c r="G11" s="91" t="s">
        <v>20</v>
      </c>
    </row>
    <row r="12" spans="2:7">
      <c r="B12" s="87" t="s">
        <v>28</v>
      </c>
      <c r="C12" s="88" t="s">
        <v>82</v>
      </c>
      <c r="D12" s="89"/>
      <c r="E12" s="89"/>
      <c r="F12" s="240" t="s">
        <v>81</v>
      </c>
      <c r="G12" s="91" t="s">
        <v>81</v>
      </c>
    </row>
    <row r="13" spans="2:7">
      <c r="B13" s="98" t="s">
        <v>29</v>
      </c>
      <c r="C13" s="85" t="s">
        <v>284</v>
      </c>
      <c r="D13" s="21"/>
      <c r="E13" s="21"/>
      <c r="F13" s="84"/>
      <c r="G13" s="84"/>
    </row>
    <row r="14" spans="2:7">
      <c r="B14" s="95"/>
      <c r="C14" s="13" t="s">
        <v>3</v>
      </c>
      <c r="D14" s="401" t="s">
        <v>30</v>
      </c>
      <c r="E14" s="402"/>
      <c r="F14" s="13" t="s">
        <v>6</v>
      </c>
      <c r="G14" s="13" t="s">
        <v>4</v>
      </c>
    </row>
    <row r="15" spans="2:7">
      <c r="B15" s="95"/>
      <c r="C15" s="87" t="s">
        <v>18</v>
      </c>
      <c r="D15" s="89" t="s">
        <v>336</v>
      </c>
      <c r="E15" s="89"/>
      <c r="F15" s="23">
        <f>+'Tabel Lampiran 1'!J27</f>
        <v>15450</v>
      </c>
      <c r="G15" s="91" t="s">
        <v>84</v>
      </c>
    </row>
    <row r="16" spans="2:7">
      <c r="B16" s="99"/>
      <c r="C16" s="100" t="s">
        <v>8</v>
      </c>
      <c r="D16" s="101"/>
      <c r="E16" s="101"/>
      <c r="F16" s="28" t="s">
        <v>8</v>
      </c>
      <c r="G16" s="102" t="s">
        <v>8</v>
      </c>
    </row>
    <row r="17" spans="2:7">
      <c r="B17" s="95" t="s">
        <v>31</v>
      </c>
      <c r="C17" s="93" t="s">
        <v>32</v>
      </c>
      <c r="D17" s="94"/>
      <c r="E17" s="94"/>
      <c r="F17" s="95"/>
      <c r="G17" s="95"/>
    </row>
    <row r="18" spans="2:7">
      <c r="B18" s="95"/>
      <c r="C18" s="13" t="s">
        <v>3</v>
      </c>
      <c r="D18" s="402" t="s">
        <v>30</v>
      </c>
      <c r="E18" s="402"/>
      <c r="F18" s="13" t="s">
        <v>5</v>
      </c>
      <c r="G18" s="13" t="s">
        <v>4</v>
      </c>
    </row>
    <row r="19" spans="2:7">
      <c r="B19" s="95"/>
      <c r="C19" s="98" t="s">
        <v>18</v>
      </c>
      <c r="D19" s="89" t="s">
        <v>336</v>
      </c>
      <c r="E19" s="21"/>
      <c r="F19" s="24">
        <v>7500</v>
      </c>
      <c r="G19" s="96" t="s">
        <v>85</v>
      </c>
    </row>
    <row r="20" spans="2:7">
      <c r="B20" s="95"/>
      <c r="C20" s="90"/>
      <c r="D20" s="89"/>
      <c r="E20" s="89"/>
      <c r="F20" s="90"/>
      <c r="G20" s="90"/>
    </row>
    <row r="21" spans="2:7">
      <c r="B21" s="84" t="s">
        <v>33</v>
      </c>
      <c r="C21" s="93" t="s">
        <v>34</v>
      </c>
      <c r="D21" s="94"/>
      <c r="E21" s="94"/>
      <c r="F21" s="95"/>
      <c r="G21" s="95"/>
    </row>
    <row r="22" spans="2:7">
      <c r="B22" s="95"/>
      <c r="C22" s="88" t="s">
        <v>35</v>
      </c>
      <c r="D22" s="89" t="s">
        <v>309</v>
      </c>
      <c r="E22" s="89"/>
      <c r="F22" s="90">
        <v>0</v>
      </c>
      <c r="G22" s="91" t="s">
        <v>38</v>
      </c>
    </row>
    <row r="23" spans="2:7">
      <c r="B23" s="95"/>
      <c r="C23" s="88" t="s">
        <v>36</v>
      </c>
      <c r="D23" s="89" t="s">
        <v>310</v>
      </c>
      <c r="E23" s="89"/>
      <c r="F23" s="90">
        <v>100</v>
      </c>
      <c r="G23" s="91" t="s">
        <v>38</v>
      </c>
    </row>
    <row r="24" spans="2:7">
      <c r="B24" s="92" t="s">
        <v>39</v>
      </c>
      <c r="C24" s="93" t="s">
        <v>40</v>
      </c>
      <c r="D24" s="94"/>
      <c r="E24" s="94"/>
      <c r="F24" s="95">
        <v>12</v>
      </c>
      <c r="G24" s="91" t="s">
        <v>86</v>
      </c>
    </row>
    <row r="25" spans="2:7">
      <c r="B25" s="87" t="s">
        <v>41</v>
      </c>
      <c r="C25" s="88" t="s">
        <v>42</v>
      </c>
      <c r="D25" s="89"/>
      <c r="E25" s="89"/>
      <c r="F25" s="90">
        <v>12</v>
      </c>
      <c r="G25" s="91" t="s">
        <v>86</v>
      </c>
    </row>
    <row r="26" spans="2:7">
      <c r="B26" s="87" t="s">
        <v>43</v>
      </c>
      <c r="C26" s="88" t="s">
        <v>44</v>
      </c>
      <c r="D26" s="89"/>
      <c r="E26" s="89"/>
      <c r="F26" s="90"/>
      <c r="G26" s="91"/>
    </row>
    <row r="27" spans="2:7">
      <c r="B27" s="95"/>
      <c r="C27" s="93" t="s">
        <v>35</v>
      </c>
      <c r="D27" s="94" t="s">
        <v>45</v>
      </c>
      <c r="E27" s="94"/>
      <c r="F27" s="95">
        <v>70</v>
      </c>
      <c r="G27" s="91" t="s">
        <v>38</v>
      </c>
    </row>
    <row r="28" spans="2:7">
      <c r="B28" s="90"/>
      <c r="C28" s="88" t="s">
        <v>36</v>
      </c>
      <c r="D28" s="89" t="s">
        <v>46</v>
      </c>
      <c r="E28" s="89"/>
      <c r="F28" s="90">
        <v>30</v>
      </c>
      <c r="G28" s="91" t="s">
        <v>38</v>
      </c>
    </row>
    <row r="29" spans="2:7">
      <c r="B29" s="92" t="s">
        <v>47</v>
      </c>
      <c r="C29" s="93" t="s">
        <v>48</v>
      </c>
      <c r="D29" s="94"/>
      <c r="E29" s="94"/>
      <c r="F29" s="95"/>
      <c r="G29" s="96"/>
    </row>
    <row r="30" spans="2:7">
      <c r="B30" s="90"/>
      <c r="C30" s="88" t="s">
        <v>35</v>
      </c>
      <c r="D30" s="89" t="s">
        <v>45</v>
      </c>
      <c r="E30" s="89"/>
      <c r="F30" s="90">
        <v>70</v>
      </c>
      <c r="G30" s="91" t="s">
        <v>38</v>
      </c>
    </row>
    <row r="31" spans="2:7">
      <c r="B31" s="90"/>
      <c r="C31" s="88" t="s">
        <v>36</v>
      </c>
      <c r="D31" s="89" t="s">
        <v>46</v>
      </c>
      <c r="E31" s="89"/>
      <c r="F31" s="90">
        <v>30</v>
      </c>
      <c r="G31" s="91" t="s">
        <v>38</v>
      </c>
    </row>
    <row r="32" spans="2:7">
      <c r="B32" s="92" t="s">
        <v>49</v>
      </c>
      <c r="C32" s="93" t="s">
        <v>50</v>
      </c>
      <c r="D32" s="94"/>
      <c r="E32" s="94"/>
      <c r="F32" s="95">
        <v>15</v>
      </c>
      <c r="G32" s="96" t="s">
        <v>20</v>
      </c>
    </row>
    <row r="33" spans="2:7">
      <c r="B33" s="87" t="s">
        <v>51</v>
      </c>
      <c r="C33" s="88" t="s">
        <v>52</v>
      </c>
      <c r="D33" s="89"/>
      <c r="E33" s="89"/>
      <c r="F33" s="90">
        <v>15</v>
      </c>
      <c r="G33" s="91" t="s">
        <v>20</v>
      </c>
    </row>
    <row r="34" spans="2:7">
      <c r="B34" s="6"/>
      <c r="C34" s="6"/>
      <c r="D34" s="6"/>
      <c r="E34" s="6"/>
      <c r="F34" s="6"/>
      <c r="G34" s="6"/>
    </row>
    <row r="35" spans="2:7">
      <c r="B35" s="6"/>
      <c r="C35" s="6"/>
      <c r="D35" s="6"/>
      <c r="E35" s="6"/>
      <c r="F35" s="6"/>
      <c r="G35" s="6"/>
    </row>
    <row r="36" spans="2:7">
      <c r="B36" s="6"/>
      <c r="C36" s="6"/>
      <c r="D36" s="6"/>
      <c r="E36" s="6"/>
      <c r="F36" s="6"/>
      <c r="G36" s="6"/>
    </row>
    <row r="37" spans="2:7">
      <c r="B37" s="6"/>
      <c r="C37" s="6"/>
      <c r="D37" s="6"/>
      <c r="E37" s="6"/>
      <c r="F37" s="6"/>
      <c r="G37" s="6"/>
    </row>
    <row r="38" spans="2:7">
      <c r="B38" s="6"/>
      <c r="C38" s="6"/>
      <c r="D38" s="6"/>
      <c r="E38" s="6"/>
      <c r="F38" s="6"/>
      <c r="G38" s="6"/>
    </row>
    <row r="39" spans="2:7">
      <c r="B39" s="6"/>
      <c r="C39" s="6"/>
      <c r="D39" s="6"/>
      <c r="E39" s="6"/>
      <c r="F39" s="6"/>
      <c r="G39" s="6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O58"/>
  <sheetViews>
    <sheetView topLeftCell="A25" zoomScale="60" zoomScaleNormal="60" workbookViewId="0">
      <selection activeCell="A33" sqref="A33"/>
    </sheetView>
  </sheetViews>
  <sheetFormatPr defaultRowHeight="15"/>
  <cols>
    <col min="1" max="1" width="3.42578125" customWidth="1"/>
    <col min="2" max="2" width="4.5703125" customWidth="1"/>
    <col min="3" max="3" width="5" customWidth="1"/>
    <col min="4" max="4" width="20.28515625" customWidth="1"/>
    <col min="5" max="5" width="3.5703125" customWidth="1"/>
    <col min="6" max="6" width="9.42578125" customWidth="1"/>
    <col min="7" max="7" width="12.85546875" customWidth="1"/>
    <col min="8" max="8" width="13.42578125" customWidth="1"/>
    <col min="9" max="9" width="17.5703125" customWidth="1"/>
    <col min="10" max="10" width="11.140625" customWidth="1"/>
    <col min="11" max="11" width="15" customWidth="1"/>
    <col min="12" max="12" width="10.140625" customWidth="1"/>
    <col min="13" max="13" width="15.28515625" customWidth="1"/>
  </cols>
  <sheetData>
    <row r="2" spans="2:15">
      <c r="B2" s="2" t="s">
        <v>53</v>
      </c>
      <c r="C2" s="2"/>
      <c r="D2" s="2"/>
      <c r="E2" s="2"/>
      <c r="F2" s="103"/>
      <c r="G2" s="1"/>
      <c r="H2" s="1"/>
      <c r="I2" s="1"/>
      <c r="J2" s="1"/>
      <c r="K2" s="1"/>
      <c r="L2" s="1"/>
      <c r="M2" s="1"/>
      <c r="N2" s="1"/>
    </row>
    <row r="3" spans="2:15">
      <c r="B3" s="1" t="s">
        <v>1</v>
      </c>
      <c r="C3" s="1"/>
      <c r="D3" s="1"/>
      <c r="E3" s="43" t="s">
        <v>7</v>
      </c>
      <c r="F3" s="1" t="s">
        <v>78</v>
      </c>
      <c r="G3" s="1"/>
      <c r="H3" s="1"/>
      <c r="I3" s="1"/>
      <c r="J3" s="1"/>
      <c r="K3" s="1"/>
      <c r="L3" s="1"/>
      <c r="M3" s="1"/>
      <c r="N3" s="1"/>
      <c r="O3" s="15" t="s">
        <v>7</v>
      </c>
    </row>
    <row r="4" spans="2:15">
      <c r="B4" s="1" t="s">
        <v>2</v>
      </c>
      <c r="C4" s="1"/>
      <c r="D4" s="1"/>
      <c r="E4" s="43" t="s">
        <v>7</v>
      </c>
      <c r="F4" t="s">
        <v>323</v>
      </c>
      <c r="H4" s="1"/>
      <c r="I4" s="1"/>
      <c r="J4" s="1"/>
      <c r="K4" s="1"/>
      <c r="L4" s="1"/>
      <c r="M4" s="1"/>
      <c r="N4" s="1"/>
      <c r="O4" s="15" t="s">
        <v>7</v>
      </c>
    </row>
    <row r="5" spans="2:15">
      <c r="B5" s="1" t="s">
        <v>94</v>
      </c>
      <c r="C5" s="1"/>
      <c r="D5" s="1"/>
      <c r="E5" s="43" t="s">
        <v>7</v>
      </c>
      <c r="F5" s="1" t="s">
        <v>95</v>
      </c>
      <c r="G5" s="1"/>
      <c r="H5" s="1"/>
      <c r="I5" s="1"/>
      <c r="J5" s="1"/>
      <c r="K5" s="1"/>
      <c r="L5" s="1"/>
      <c r="M5" s="1"/>
      <c r="N5" s="1"/>
    </row>
    <row r="6" spans="2: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5">
      <c r="B7" s="405" t="s">
        <v>261</v>
      </c>
      <c r="C7" s="405"/>
      <c r="D7" s="405"/>
      <c r="E7" s="405"/>
      <c r="F7" s="405"/>
      <c r="G7" s="405"/>
      <c r="H7" s="405"/>
      <c r="I7" s="405"/>
      <c r="J7" s="1"/>
      <c r="K7" s="1"/>
      <c r="L7" s="1"/>
      <c r="M7" s="1"/>
      <c r="N7" s="1"/>
    </row>
    <row r="8" spans="2:15">
      <c r="B8" s="406" t="s">
        <v>3</v>
      </c>
      <c r="C8" s="104"/>
      <c r="D8" s="408" t="s">
        <v>114</v>
      </c>
      <c r="E8" s="105"/>
      <c r="F8" s="406" t="s">
        <v>4</v>
      </c>
      <c r="G8" s="105" t="s">
        <v>115</v>
      </c>
      <c r="H8" s="410" t="s">
        <v>116</v>
      </c>
      <c r="I8" s="411"/>
      <c r="J8" s="1"/>
      <c r="K8" s="1"/>
      <c r="L8" s="1"/>
      <c r="M8" s="1"/>
      <c r="N8" s="1"/>
    </row>
    <row r="9" spans="2:15" ht="20.25" customHeight="1">
      <c r="B9" s="407"/>
      <c r="C9" s="106"/>
      <c r="D9" s="409"/>
      <c r="E9" s="107"/>
      <c r="F9" s="407"/>
      <c r="G9" s="106" t="s">
        <v>117</v>
      </c>
      <c r="H9" s="398" t="s">
        <v>118</v>
      </c>
      <c r="I9" s="108" t="s">
        <v>119</v>
      </c>
      <c r="J9" s="1"/>
      <c r="K9" s="1"/>
      <c r="L9" s="1"/>
      <c r="M9" s="1"/>
      <c r="N9" s="1"/>
    </row>
    <row r="10" spans="2:15" ht="20.25" customHeight="1">
      <c r="B10" s="266" t="s">
        <v>18</v>
      </c>
      <c r="C10" s="412" t="s">
        <v>120</v>
      </c>
      <c r="D10" s="412"/>
      <c r="E10" s="267"/>
      <c r="F10" s="268" t="s">
        <v>57</v>
      </c>
      <c r="G10" s="265">
        <v>100000</v>
      </c>
      <c r="H10" s="269">
        <v>60</v>
      </c>
      <c r="I10" s="270">
        <f>+H10*G10</f>
        <v>6000000</v>
      </c>
      <c r="J10" s="1"/>
      <c r="K10" s="1"/>
      <c r="L10" s="1"/>
      <c r="M10" s="1"/>
      <c r="N10" s="1"/>
    </row>
    <row r="11" spans="2:15">
      <c r="B11" s="271" t="s">
        <v>21</v>
      </c>
      <c r="C11" s="414" t="s">
        <v>121</v>
      </c>
      <c r="D11" s="414"/>
      <c r="E11" s="272"/>
      <c r="F11" s="273"/>
      <c r="G11" s="272"/>
      <c r="H11" s="274"/>
      <c r="I11" s="275">
        <f>SUM(I12:I16)</f>
        <v>12200000</v>
      </c>
      <c r="J11" s="1"/>
      <c r="K11" s="1"/>
      <c r="L11" s="1"/>
      <c r="M11" s="1"/>
      <c r="N11" s="1"/>
    </row>
    <row r="12" spans="2:15" ht="14.25" customHeight="1">
      <c r="B12" s="109"/>
      <c r="C12" s="110" t="s">
        <v>153</v>
      </c>
      <c r="D12" s="111" t="s">
        <v>56</v>
      </c>
      <c r="E12" s="111"/>
      <c r="F12" s="109" t="s">
        <v>57</v>
      </c>
      <c r="G12" s="112">
        <f>+G10</f>
        <v>100000</v>
      </c>
      <c r="H12" s="113">
        <v>25</v>
      </c>
      <c r="I12" s="114">
        <f>+H12*G12</f>
        <v>2500000</v>
      </c>
      <c r="J12" s="1"/>
      <c r="K12" s="1"/>
      <c r="L12" s="1"/>
      <c r="M12" s="1"/>
      <c r="N12" s="1"/>
    </row>
    <row r="13" spans="2:15" ht="14.25" customHeight="1">
      <c r="B13" s="115"/>
      <c r="C13" s="116" t="s">
        <v>154</v>
      </c>
      <c r="D13" s="117" t="s">
        <v>122</v>
      </c>
      <c r="E13" s="117"/>
      <c r="F13" s="115"/>
      <c r="G13" s="118"/>
      <c r="H13" s="119"/>
      <c r="I13" s="120"/>
      <c r="J13" s="1"/>
      <c r="K13" s="1"/>
      <c r="L13" s="1"/>
      <c r="M13" s="1"/>
      <c r="N13" s="1"/>
    </row>
    <row r="14" spans="2:15" ht="15.75" customHeight="1">
      <c r="B14" s="121"/>
      <c r="C14" s="110" t="s">
        <v>81</v>
      </c>
      <c r="D14" s="122" t="s">
        <v>123</v>
      </c>
      <c r="E14" s="122"/>
      <c r="F14" s="121" t="s">
        <v>124</v>
      </c>
      <c r="G14" s="123">
        <v>75000</v>
      </c>
      <c r="H14" s="124">
        <v>20</v>
      </c>
      <c r="I14" s="114">
        <f>+H14*G14</f>
        <v>1500000</v>
      </c>
      <c r="J14" s="1"/>
      <c r="K14" s="1"/>
      <c r="L14" s="1"/>
      <c r="M14" s="1"/>
      <c r="N14" s="1"/>
    </row>
    <row r="15" spans="2:15" ht="14.25" customHeight="1">
      <c r="B15" s="109"/>
      <c r="C15" s="110" t="s">
        <v>81</v>
      </c>
      <c r="D15" s="111" t="s">
        <v>125</v>
      </c>
      <c r="E15" s="111"/>
      <c r="F15" s="109" t="s">
        <v>84</v>
      </c>
      <c r="G15" s="112">
        <v>20000</v>
      </c>
      <c r="H15" s="113">
        <v>10</v>
      </c>
      <c r="I15" s="114">
        <f>+H15*G15</f>
        <v>200000</v>
      </c>
      <c r="J15" s="1"/>
      <c r="K15" s="1"/>
      <c r="L15" s="1"/>
      <c r="M15" s="1"/>
      <c r="N15" s="1"/>
    </row>
    <row r="16" spans="2:15" ht="14.25" customHeight="1">
      <c r="B16" s="125"/>
      <c r="C16" s="110" t="s">
        <v>81</v>
      </c>
      <c r="D16" s="126" t="s">
        <v>126</v>
      </c>
      <c r="E16" s="126"/>
      <c r="F16" s="125" t="s">
        <v>88</v>
      </c>
      <c r="G16" s="127">
        <v>20000</v>
      </c>
      <c r="H16" s="128">
        <v>400</v>
      </c>
      <c r="I16" s="114">
        <f>+H16*G16</f>
        <v>8000000</v>
      </c>
      <c r="J16" s="1"/>
      <c r="K16" s="1"/>
      <c r="L16" s="1"/>
      <c r="M16" s="1"/>
      <c r="N16" s="1"/>
    </row>
    <row r="17" spans="2:14">
      <c r="B17" s="271" t="s">
        <v>23</v>
      </c>
      <c r="C17" s="412" t="s">
        <v>334</v>
      </c>
      <c r="D17" s="412"/>
      <c r="E17" s="267"/>
      <c r="F17" s="268"/>
      <c r="G17" s="276"/>
      <c r="H17" s="277"/>
      <c r="I17" s="278">
        <f>SUM(I19:I30)</f>
        <v>20650000</v>
      </c>
      <c r="J17" s="1"/>
      <c r="K17" s="1"/>
      <c r="L17" s="1"/>
      <c r="M17" s="1"/>
      <c r="N17" s="1"/>
    </row>
    <row r="18" spans="2:14" ht="17.25" customHeight="1">
      <c r="B18" s="109"/>
      <c r="C18" s="129" t="s">
        <v>127</v>
      </c>
      <c r="D18" s="111" t="s">
        <v>128</v>
      </c>
      <c r="E18" s="111"/>
      <c r="F18" s="109"/>
      <c r="G18" s="130"/>
      <c r="H18" s="124"/>
      <c r="I18" s="120"/>
      <c r="J18" s="1"/>
      <c r="K18" s="1"/>
      <c r="L18" s="1"/>
      <c r="M18" s="1"/>
      <c r="N18" s="1"/>
    </row>
    <row r="19" spans="2:14" ht="13.5" customHeight="1">
      <c r="B19" s="115"/>
      <c r="C19" s="110" t="s">
        <v>81</v>
      </c>
      <c r="D19" s="117" t="s">
        <v>56</v>
      </c>
      <c r="E19" s="117"/>
      <c r="F19" s="115" t="s">
        <v>57</v>
      </c>
      <c r="G19" s="131">
        <f>+G10</f>
        <v>100000</v>
      </c>
      <c r="H19" s="113">
        <v>4</v>
      </c>
      <c r="I19" s="114">
        <f t="shared" ref="I19:I30" si="0">+H19*G19</f>
        <v>400000</v>
      </c>
      <c r="J19" s="1"/>
      <c r="K19" s="1"/>
      <c r="L19" s="1"/>
      <c r="M19" s="1"/>
      <c r="N19" s="1"/>
    </row>
    <row r="20" spans="2:14" ht="15.75" customHeight="1">
      <c r="B20" s="109"/>
      <c r="C20" s="132" t="s">
        <v>81</v>
      </c>
      <c r="D20" s="111" t="s">
        <v>129</v>
      </c>
      <c r="E20" s="111"/>
      <c r="F20" s="109" t="s">
        <v>88</v>
      </c>
      <c r="G20" s="133">
        <f>+G16</f>
        <v>20000</v>
      </c>
      <c r="H20" s="119">
        <v>555</v>
      </c>
      <c r="I20" s="114">
        <f t="shared" si="0"/>
        <v>11100000</v>
      </c>
      <c r="J20" s="1"/>
      <c r="K20" s="1"/>
      <c r="L20" s="1"/>
      <c r="M20" s="1"/>
      <c r="N20" s="1"/>
    </row>
    <row r="21" spans="2:14" ht="20.25" customHeight="1">
      <c r="B21" s="115"/>
      <c r="C21" s="134" t="s">
        <v>130</v>
      </c>
      <c r="D21" s="117" t="s">
        <v>131</v>
      </c>
      <c r="E21" s="117"/>
      <c r="F21" s="115"/>
      <c r="G21" s="135"/>
      <c r="H21" s="113"/>
      <c r="I21" s="114">
        <f t="shared" si="0"/>
        <v>0</v>
      </c>
      <c r="J21" s="1"/>
      <c r="K21" s="1"/>
      <c r="L21" s="1"/>
      <c r="M21" s="1"/>
      <c r="N21" s="1"/>
    </row>
    <row r="22" spans="2:14" ht="16.5" customHeight="1">
      <c r="B22" s="109"/>
      <c r="C22" s="110" t="s">
        <v>81</v>
      </c>
      <c r="D22" s="111" t="s">
        <v>56</v>
      </c>
      <c r="E22" s="111"/>
      <c r="F22" s="109" t="s">
        <v>57</v>
      </c>
      <c r="G22" s="131">
        <f>+G19</f>
        <v>100000</v>
      </c>
      <c r="H22" s="119">
        <v>13</v>
      </c>
      <c r="I22" s="114">
        <f t="shared" si="0"/>
        <v>1300000</v>
      </c>
      <c r="J22" s="1"/>
      <c r="K22" s="1"/>
      <c r="L22" s="1"/>
      <c r="M22" s="1"/>
      <c r="N22" s="1"/>
    </row>
    <row r="23" spans="2:14" ht="16.5" customHeight="1">
      <c r="B23" s="115"/>
      <c r="C23" s="132" t="s">
        <v>81</v>
      </c>
      <c r="D23" s="117" t="s">
        <v>132</v>
      </c>
      <c r="E23" s="117"/>
      <c r="F23" s="115" t="s">
        <v>87</v>
      </c>
      <c r="G23" s="136">
        <v>70000</v>
      </c>
      <c r="H23" s="113">
        <v>1</v>
      </c>
      <c r="I23" s="114">
        <f t="shared" si="0"/>
        <v>70000</v>
      </c>
      <c r="J23" s="1"/>
      <c r="K23" s="1"/>
      <c r="L23" s="1"/>
      <c r="M23" s="1"/>
      <c r="N23" s="1"/>
    </row>
    <row r="24" spans="2:14" ht="18.75" customHeight="1">
      <c r="B24" s="109"/>
      <c r="C24" s="132" t="s">
        <v>81</v>
      </c>
      <c r="D24" s="111" t="s">
        <v>133</v>
      </c>
      <c r="E24" s="111"/>
      <c r="F24" s="109" t="s">
        <v>87</v>
      </c>
      <c r="G24" s="131">
        <v>50000</v>
      </c>
      <c r="H24" s="119">
        <v>1</v>
      </c>
      <c r="I24" s="114">
        <f t="shared" si="0"/>
        <v>50000</v>
      </c>
      <c r="J24" s="1"/>
      <c r="K24" s="1"/>
      <c r="L24" s="1"/>
      <c r="M24" s="1"/>
      <c r="N24" s="1"/>
    </row>
    <row r="25" spans="2:14" ht="18" customHeight="1">
      <c r="B25" s="115"/>
      <c r="C25" s="134" t="s">
        <v>134</v>
      </c>
      <c r="D25" s="117" t="s">
        <v>135</v>
      </c>
      <c r="E25" s="117"/>
      <c r="F25" s="115"/>
      <c r="G25" s="137"/>
      <c r="H25" s="113"/>
      <c r="I25" s="114">
        <f t="shared" si="0"/>
        <v>0</v>
      </c>
      <c r="J25" s="1"/>
      <c r="K25" s="1"/>
      <c r="L25" s="1"/>
      <c r="M25" s="1"/>
      <c r="N25" s="1"/>
    </row>
    <row r="26" spans="2:14" ht="18.75" customHeight="1">
      <c r="B26" s="109"/>
      <c r="C26" s="110" t="s">
        <v>81</v>
      </c>
      <c r="D26" s="111" t="s">
        <v>56</v>
      </c>
      <c r="E26" s="111"/>
      <c r="F26" s="109" t="s">
        <v>57</v>
      </c>
      <c r="G26" s="131">
        <f>+G22</f>
        <v>100000</v>
      </c>
      <c r="H26" s="119">
        <v>15</v>
      </c>
      <c r="I26" s="114">
        <f t="shared" si="0"/>
        <v>1500000</v>
      </c>
      <c r="J26" s="1"/>
      <c r="K26" s="1"/>
      <c r="L26" s="1"/>
      <c r="M26" s="1"/>
      <c r="N26" s="1"/>
    </row>
    <row r="27" spans="2:14" ht="27.75" customHeight="1">
      <c r="B27" s="115"/>
      <c r="C27" s="138" t="s">
        <v>81</v>
      </c>
      <c r="D27" s="418" t="s">
        <v>335</v>
      </c>
      <c r="E27" s="419"/>
      <c r="F27" s="115" t="s">
        <v>295</v>
      </c>
      <c r="G27" s="136">
        <v>10000</v>
      </c>
      <c r="H27" s="113">
        <v>575</v>
      </c>
      <c r="I27" s="114">
        <f t="shared" si="0"/>
        <v>5750000</v>
      </c>
      <c r="J27" s="1"/>
      <c r="K27" s="1"/>
      <c r="L27" s="1"/>
      <c r="M27" s="1"/>
      <c r="N27" s="1"/>
    </row>
    <row r="28" spans="2:14" ht="19.5" customHeight="1">
      <c r="B28" s="109"/>
      <c r="C28" s="138" t="s">
        <v>81</v>
      </c>
      <c r="D28" s="111" t="s">
        <v>136</v>
      </c>
      <c r="E28" s="111"/>
      <c r="F28" s="109" t="s">
        <v>84</v>
      </c>
      <c r="G28" s="131">
        <v>4000</v>
      </c>
      <c r="H28" s="119">
        <v>70</v>
      </c>
      <c r="I28" s="114">
        <f t="shared" si="0"/>
        <v>280000</v>
      </c>
      <c r="J28" s="1"/>
      <c r="K28" s="1"/>
      <c r="L28" s="1"/>
      <c r="M28" s="1"/>
      <c r="N28" s="1"/>
    </row>
    <row r="29" spans="2:14" ht="19.5" customHeight="1">
      <c r="B29" s="115"/>
      <c r="C29" s="134" t="s">
        <v>137</v>
      </c>
      <c r="D29" s="117" t="s">
        <v>138</v>
      </c>
      <c r="E29" s="117"/>
      <c r="F29" s="115"/>
      <c r="G29" s="137"/>
      <c r="H29" s="113"/>
      <c r="I29" s="114">
        <f t="shared" si="0"/>
        <v>0</v>
      </c>
      <c r="J29" s="1"/>
      <c r="K29" s="1"/>
      <c r="L29" s="1"/>
      <c r="M29" s="1"/>
      <c r="N29" s="1"/>
    </row>
    <row r="30" spans="2:14" ht="18.75" customHeight="1">
      <c r="B30" s="109"/>
      <c r="C30" s="138" t="s">
        <v>81</v>
      </c>
      <c r="D30" s="111" t="s">
        <v>56</v>
      </c>
      <c r="E30" s="111"/>
      <c r="F30" s="109" t="s">
        <v>57</v>
      </c>
      <c r="G30" s="136">
        <f>+G26</f>
        <v>100000</v>
      </c>
      <c r="H30" s="113">
        <v>2</v>
      </c>
      <c r="I30" s="139">
        <f t="shared" si="0"/>
        <v>200000</v>
      </c>
      <c r="J30" s="1"/>
      <c r="K30" s="1"/>
      <c r="L30" s="1"/>
      <c r="M30" s="1"/>
      <c r="N30" s="1"/>
    </row>
    <row r="31" spans="2:14">
      <c r="B31" s="279"/>
      <c r="C31" s="280"/>
      <c r="D31" s="281" t="s">
        <v>6</v>
      </c>
      <c r="E31" s="282"/>
      <c r="F31" s="283"/>
      <c r="G31" s="284"/>
      <c r="H31" s="269"/>
      <c r="I31" s="270">
        <f>+I17+I11+I10</f>
        <v>38850000</v>
      </c>
      <c r="J31" s="1"/>
      <c r="K31" s="1"/>
      <c r="L31" s="1"/>
      <c r="M31" s="1"/>
      <c r="N31" s="1"/>
    </row>
    <row r="32" spans="2:14">
      <c r="B32" s="253" t="s">
        <v>311</v>
      </c>
      <c r="C32" s="245"/>
      <c r="D32" s="245"/>
      <c r="E32" s="63"/>
      <c r="F32" s="63"/>
      <c r="G32" s="63"/>
      <c r="H32" s="63"/>
      <c r="I32" s="63"/>
      <c r="J32" s="1"/>
      <c r="K32" s="1"/>
      <c r="L32" s="1"/>
      <c r="M32" s="1"/>
      <c r="N32" s="1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>
      <c r="B34" s="415" t="s">
        <v>262</v>
      </c>
      <c r="C34" s="415"/>
      <c r="D34" s="415"/>
      <c r="E34" s="415"/>
      <c r="F34" s="415"/>
      <c r="G34" s="415"/>
      <c r="H34" s="415"/>
      <c r="I34" s="415"/>
      <c r="J34" s="415"/>
      <c r="K34" s="415"/>
      <c r="L34" s="1"/>
      <c r="M34" s="1"/>
      <c r="N34" s="1"/>
    </row>
    <row r="35" spans="2:14">
      <c r="B35" s="406" t="s">
        <v>3</v>
      </c>
      <c r="C35" s="140"/>
      <c r="D35" s="416" t="s">
        <v>114</v>
      </c>
      <c r="E35" s="141"/>
      <c r="F35" s="420" t="s">
        <v>4</v>
      </c>
      <c r="G35" s="397" t="s">
        <v>115</v>
      </c>
      <c r="H35" s="413" t="s">
        <v>139</v>
      </c>
      <c r="I35" s="413"/>
      <c r="J35" s="413" t="s">
        <v>140</v>
      </c>
      <c r="K35" s="413"/>
      <c r="L35" s="413" t="s">
        <v>168</v>
      </c>
      <c r="M35" s="413"/>
      <c r="N35" s="1"/>
    </row>
    <row r="36" spans="2:14">
      <c r="B36" s="407"/>
      <c r="C36" s="142"/>
      <c r="D36" s="417"/>
      <c r="E36" s="143"/>
      <c r="F36" s="421"/>
      <c r="G36" s="397" t="s">
        <v>117</v>
      </c>
      <c r="H36" s="397" t="s">
        <v>118</v>
      </c>
      <c r="I36" s="397" t="s">
        <v>119</v>
      </c>
      <c r="J36" s="108" t="s">
        <v>118</v>
      </c>
      <c r="K36" s="108" t="s">
        <v>119</v>
      </c>
      <c r="L36" s="247" t="s">
        <v>118</v>
      </c>
      <c r="M36" s="247" t="s">
        <v>119</v>
      </c>
      <c r="N36" s="1"/>
    </row>
    <row r="37" spans="2:14">
      <c r="B37" s="307" t="s">
        <v>18</v>
      </c>
      <c r="C37" s="403" t="s">
        <v>141</v>
      </c>
      <c r="D37" s="404"/>
      <c r="E37" s="319"/>
      <c r="F37" s="335"/>
      <c r="G37" s="335"/>
      <c r="H37" s="335"/>
      <c r="I37" s="327">
        <f>SUM(I38:I42)</f>
        <v>1800000</v>
      </c>
      <c r="J37" s="335"/>
      <c r="K37" s="327">
        <f>SUM(K38:K42)</f>
        <v>1112500</v>
      </c>
      <c r="L37" s="335"/>
      <c r="M37" s="327">
        <f>SUM(M38:M42)</f>
        <v>1112500</v>
      </c>
      <c r="N37" s="1"/>
    </row>
    <row r="38" spans="2:14">
      <c r="B38" s="115"/>
      <c r="C38" s="144" t="s">
        <v>142</v>
      </c>
      <c r="D38" s="145" t="s">
        <v>56</v>
      </c>
      <c r="E38" s="146"/>
      <c r="F38" s="147" t="s">
        <v>57</v>
      </c>
      <c r="G38" s="339">
        <f>+G30</f>
        <v>100000</v>
      </c>
      <c r="H38" s="149">
        <v>8</v>
      </c>
      <c r="I38" s="150">
        <f t="shared" ref="I38:I42" si="1">+H38*G38</f>
        <v>800000</v>
      </c>
      <c r="J38" s="149">
        <v>4</v>
      </c>
      <c r="K38" s="150">
        <f>+J38*G38</f>
        <v>400000</v>
      </c>
      <c r="L38" s="149">
        <v>4</v>
      </c>
      <c r="M38" s="150">
        <f>+L38*G38</f>
        <v>400000</v>
      </c>
      <c r="N38" s="1"/>
    </row>
    <row r="39" spans="2:14">
      <c r="B39" s="121"/>
      <c r="C39" s="151" t="s">
        <v>143</v>
      </c>
      <c r="D39" s="145" t="s">
        <v>144</v>
      </c>
      <c r="E39" s="146"/>
      <c r="F39" s="147" t="s">
        <v>145</v>
      </c>
      <c r="G39" s="148">
        <v>75000</v>
      </c>
      <c r="H39" s="149">
        <v>1</v>
      </c>
      <c r="I39" s="150">
        <f t="shared" si="1"/>
        <v>75000</v>
      </c>
      <c r="J39" s="149">
        <v>0.5</v>
      </c>
      <c r="K39" s="150">
        <f t="shared" ref="K39:K54" si="2">+J39*G39</f>
        <v>37500</v>
      </c>
      <c r="L39" s="149">
        <v>0.5</v>
      </c>
      <c r="M39" s="150">
        <f t="shared" ref="M39:M41" si="3">+L39*G39</f>
        <v>37500</v>
      </c>
      <c r="N39" s="1"/>
    </row>
    <row r="40" spans="2:14">
      <c r="B40" s="125"/>
      <c r="C40" s="151" t="s">
        <v>147</v>
      </c>
      <c r="D40" s="145" t="s">
        <v>56</v>
      </c>
      <c r="E40" s="146"/>
      <c r="F40" s="147" t="s">
        <v>57</v>
      </c>
      <c r="G40" s="148">
        <f>+G38</f>
        <v>100000</v>
      </c>
      <c r="H40" s="149">
        <v>4.5</v>
      </c>
      <c r="I40" s="150">
        <f t="shared" si="1"/>
        <v>450000</v>
      </c>
      <c r="J40" s="149">
        <v>4.5</v>
      </c>
      <c r="K40" s="150">
        <f t="shared" si="2"/>
        <v>450000</v>
      </c>
      <c r="L40" s="149">
        <v>4.5</v>
      </c>
      <c r="M40" s="150">
        <f t="shared" si="3"/>
        <v>450000</v>
      </c>
      <c r="N40" s="1"/>
    </row>
    <row r="41" spans="2:14">
      <c r="B41" s="121" t="s">
        <v>8</v>
      </c>
      <c r="C41" s="144" t="s">
        <v>148</v>
      </c>
      <c r="D41" s="145" t="s">
        <v>149</v>
      </c>
      <c r="E41" s="146"/>
      <c r="F41" s="147" t="s">
        <v>145</v>
      </c>
      <c r="G41" s="148">
        <v>75000</v>
      </c>
      <c r="H41" s="149">
        <v>3</v>
      </c>
      <c r="I41" s="150">
        <f t="shared" si="1"/>
        <v>225000</v>
      </c>
      <c r="J41" s="149">
        <v>3</v>
      </c>
      <c r="K41" s="150">
        <f t="shared" si="2"/>
        <v>225000</v>
      </c>
      <c r="L41" s="149">
        <v>3</v>
      </c>
      <c r="M41" s="150">
        <f t="shared" si="3"/>
        <v>225000</v>
      </c>
      <c r="N41" s="1"/>
    </row>
    <row r="42" spans="2:14">
      <c r="B42" s="109"/>
      <c r="C42" s="151" t="s">
        <v>150</v>
      </c>
      <c r="D42" s="145" t="s">
        <v>151</v>
      </c>
      <c r="E42" s="146"/>
      <c r="F42" s="147" t="s">
        <v>87</v>
      </c>
      <c r="G42" s="148">
        <v>250000</v>
      </c>
      <c r="H42" s="149">
        <v>1</v>
      </c>
      <c r="I42" s="150">
        <f t="shared" si="1"/>
        <v>250000</v>
      </c>
      <c r="J42" s="149">
        <v>0</v>
      </c>
      <c r="K42" s="150">
        <f t="shared" si="2"/>
        <v>0</v>
      </c>
      <c r="L42" s="149">
        <v>0</v>
      </c>
      <c r="M42" s="150">
        <f t="shared" ref="M42" si="4">+L42*I42</f>
        <v>0</v>
      </c>
      <c r="N42" s="1"/>
    </row>
    <row r="43" spans="2:14">
      <c r="B43" s="336" t="s">
        <v>21</v>
      </c>
      <c r="C43" s="403" t="s">
        <v>152</v>
      </c>
      <c r="D43" s="404"/>
      <c r="E43" s="319"/>
      <c r="F43" s="335"/>
      <c r="G43" s="269"/>
      <c r="H43" s="337"/>
      <c r="I43" s="338">
        <f>+I44+I45</f>
        <v>630000</v>
      </c>
      <c r="J43" s="337"/>
      <c r="K43" s="338">
        <f>+K44+K45</f>
        <v>300000</v>
      </c>
      <c r="L43" s="337"/>
      <c r="M43" s="338">
        <f>+M44+M45</f>
        <v>300000</v>
      </c>
      <c r="N43" s="1"/>
    </row>
    <row r="44" spans="2:14">
      <c r="B44" s="109"/>
      <c r="C44" s="151" t="s">
        <v>153</v>
      </c>
      <c r="D44" s="145" t="s">
        <v>56</v>
      </c>
      <c r="E44" s="146"/>
      <c r="F44" s="147" t="s">
        <v>57</v>
      </c>
      <c r="G44" s="148">
        <f>+G40</f>
        <v>100000</v>
      </c>
      <c r="H44" s="149">
        <v>6</v>
      </c>
      <c r="I44" s="150">
        <f>+H44*G44</f>
        <v>600000</v>
      </c>
      <c r="J44" s="149">
        <v>3</v>
      </c>
      <c r="K44" s="150">
        <f t="shared" si="2"/>
        <v>300000</v>
      </c>
      <c r="L44" s="149">
        <v>3</v>
      </c>
      <c r="M44" s="150">
        <f t="shared" ref="M44" si="5">+L44*G44</f>
        <v>300000</v>
      </c>
      <c r="N44" s="1"/>
    </row>
    <row r="45" spans="2:14">
      <c r="B45" s="115"/>
      <c r="C45" s="144" t="s">
        <v>154</v>
      </c>
      <c r="D45" s="145" t="s">
        <v>155</v>
      </c>
      <c r="E45" s="146"/>
      <c r="F45" s="147" t="s">
        <v>87</v>
      </c>
      <c r="G45" s="148">
        <v>30000</v>
      </c>
      <c r="H45" s="149">
        <v>1</v>
      </c>
      <c r="I45" s="150">
        <f>+H45*G45</f>
        <v>30000</v>
      </c>
      <c r="J45" s="149">
        <v>0</v>
      </c>
      <c r="K45" s="150">
        <f t="shared" si="2"/>
        <v>0</v>
      </c>
      <c r="L45" s="149">
        <v>0</v>
      </c>
      <c r="M45" s="150">
        <f t="shared" ref="M45" si="6">+L45*I45</f>
        <v>0</v>
      </c>
      <c r="N45" s="1"/>
    </row>
    <row r="46" spans="2:14">
      <c r="B46" s="307" t="s">
        <v>23</v>
      </c>
      <c r="C46" s="403" t="s">
        <v>156</v>
      </c>
      <c r="D46" s="404"/>
      <c r="E46" s="319"/>
      <c r="F46" s="335"/>
      <c r="G46" s="269"/>
      <c r="H46" s="337"/>
      <c r="I46" s="338">
        <f>SUM(I47:I50)</f>
        <v>1686250</v>
      </c>
      <c r="J46" s="337"/>
      <c r="K46" s="338">
        <f>SUM(K47:K50)</f>
        <v>2181250</v>
      </c>
      <c r="L46" s="337"/>
      <c r="M46" s="338">
        <f>SUM(M47:M50)</f>
        <v>2181250</v>
      </c>
      <c r="N46" s="1"/>
    </row>
    <row r="47" spans="2:14">
      <c r="B47" s="115"/>
      <c r="C47" s="144" t="s">
        <v>127</v>
      </c>
      <c r="D47" s="145" t="s">
        <v>56</v>
      </c>
      <c r="E47" s="146"/>
      <c r="F47" s="147" t="s">
        <v>57</v>
      </c>
      <c r="G47" s="148">
        <f>+G44</f>
        <v>100000</v>
      </c>
      <c r="H47" s="149">
        <v>6</v>
      </c>
      <c r="I47" s="150">
        <f>+H47*G47</f>
        <v>600000</v>
      </c>
      <c r="J47" s="149">
        <v>6</v>
      </c>
      <c r="K47" s="150">
        <f t="shared" si="2"/>
        <v>600000</v>
      </c>
      <c r="L47" s="149">
        <v>6</v>
      </c>
      <c r="M47" s="150">
        <f t="shared" ref="M47:M50" si="7">+L47*G47</f>
        <v>600000</v>
      </c>
      <c r="N47" s="1"/>
    </row>
    <row r="48" spans="2:14">
      <c r="B48" s="109"/>
      <c r="C48" s="151" t="s">
        <v>130</v>
      </c>
      <c r="D48" s="145" t="s">
        <v>157</v>
      </c>
      <c r="E48" s="146"/>
      <c r="F48" s="147" t="s">
        <v>158</v>
      </c>
      <c r="G48" s="148">
        <v>3500</v>
      </c>
      <c r="H48" s="149">
        <v>137.5</v>
      </c>
      <c r="I48" s="150">
        <f>+H48*G48</f>
        <v>481250</v>
      </c>
      <c r="J48" s="149">
        <v>137.5</v>
      </c>
      <c r="K48" s="150">
        <f t="shared" si="2"/>
        <v>481250</v>
      </c>
      <c r="L48" s="149">
        <v>137.5</v>
      </c>
      <c r="M48" s="150">
        <f t="shared" si="7"/>
        <v>481250</v>
      </c>
      <c r="N48" s="1"/>
    </row>
    <row r="49" spans="2:14">
      <c r="B49" s="115"/>
      <c r="C49" s="144" t="s">
        <v>134</v>
      </c>
      <c r="D49" s="145" t="s">
        <v>159</v>
      </c>
      <c r="E49" s="146"/>
      <c r="F49" s="147" t="s">
        <v>158</v>
      </c>
      <c r="G49" s="148">
        <v>4000</v>
      </c>
      <c r="H49" s="149">
        <v>82.5</v>
      </c>
      <c r="I49" s="150">
        <f>+H49*G49</f>
        <v>330000</v>
      </c>
      <c r="J49" s="149">
        <v>137.5</v>
      </c>
      <c r="K49" s="150">
        <f t="shared" si="2"/>
        <v>550000</v>
      </c>
      <c r="L49" s="149">
        <v>137.5</v>
      </c>
      <c r="M49" s="150">
        <f t="shared" si="7"/>
        <v>550000</v>
      </c>
      <c r="N49" s="1"/>
    </row>
    <row r="50" spans="2:14">
      <c r="B50" s="109"/>
      <c r="C50" s="151" t="s">
        <v>137</v>
      </c>
      <c r="D50" s="145" t="s">
        <v>160</v>
      </c>
      <c r="E50" s="146"/>
      <c r="F50" s="147" t="s">
        <v>158</v>
      </c>
      <c r="G50" s="148">
        <v>5000</v>
      </c>
      <c r="H50" s="149">
        <v>55</v>
      </c>
      <c r="I50" s="150">
        <f>+H50*G50</f>
        <v>275000</v>
      </c>
      <c r="J50" s="149">
        <v>110</v>
      </c>
      <c r="K50" s="150">
        <f t="shared" si="2"/>
        <v>550000</v>
      </c>
      <c r="L50" s="149">
        <v>110</v>
      </c>
      <c r="M50" s="150">
        <f t="shared" si="7"/>
        <v>550000</v>
      </c>
      <c r="N50" s="1"/>
    </row>
    <row r="51" spans="2:14">
      <c r="B51" s="307" t="s">
        <v>27</v>
      </c>
      <c r="C51" s="403" t="s">
        <v>161</v>
      </c>
      <c r="D51" s="404"/>
      <c r="E51" s="319"/>
      <c r="F51" s="335"/>
      <c r="G51" s="269"/>
      <c r="H51" s="337"/>
      <c r="I51" s="338">
        <f>SUM(I52:I54)</f>
        <v>2500000</v>
      </c>
      <c r="J51" s="337"/>
      <c r="K51" s="338">
        <f>SUM(K52:K54)</f>
        <v>100000</v>
      </c>
      <c r="L51" s="337"/>
      <c r="M51" s="338">
        <f>SUM(M52:M54)</f>
        <v>100000</v>
      </c>
      <c r="N51" s="1"/>
    </row>
    <row r="52" spans="2:14">
      <c r="B52" s="115"/>
      <c r="C52" s="144" t="s">
        <v>162</v>
      </c>
      <c r="D52" s="145" t="s">
        <v>163</v>
      </c>
      <c r="E52" s="146"/>
      <c r="F52" s="147" t="s">
        <v>57</v>
      </c>
      <c r="G52" s="148">
        <f>+G47</f>
        <v>100000</v>
      </c>
      <c r="H52" s="149">
        <v>12</v>
      </c>
      <c r="I52" s="150">
        <f>+H52*G52</f>
        <v>1200000</v>
      </c>
      <c r="J52" s="149">
        <v>0</v>
      </c>
      <c r="K52" s="150">
        <f t="shared" si="2"/>
        <v>0</v>
      </c>
      <c r="L52" s="149">
        <v>0</v>
      </c>
      <c r="M52" s="150">
        <f t="shared" ref="M52:M54" si="8">+L52*I52</f>
        <v>0</v>
      </c>
      <c r="N52" s="1"/>
    </row>
    <row r="53" spans="2:14">
      <c r="B53" s="109"/>
      <c r="C53" s="151" t="s">
        <v>164</v>
      </c>
      <c r="D53" s="145" t="s">
        <v>165</v>
      </c>
      <c r="E53" s="146"/>
      <c r="F53" s="147" t="s">
        <v>57</v>
      </c>
      <c r="G53" s="148">
        <f>+G52</f>
        <v>100000</v>
      </c>
      <c r="H53" s="149">
        <v>12</v>
      </c>
      <c r="I53" s="150">
        <f>+H53*G53</f>
        <v>1200000</v>
      </c>
      <c r="J53" s="149">
        <v>0</v>
      </c>
      <c r="K53" s="150">
        <f t="shared" si="2"/>
        <v>0</v>
      </c>
      <c r="L53" s="149">
        <v>0</v>
      </c>
      <c r="M53" s="150">
        <f t="shared" si="8"/>
        <v>0</v>
      </c>
      <c r="N53" s="1"/>
    </row>
    <row r="54" spans="2:14">
      <c r="B54" s="99"/>
      <c r="C54" s="144" t="s">
        <v>166</v>
      </c>
      <c r="D54" s="145" t="s">
        <v>167</v>
      </c>
      <c r="E54" s="146"/>
      <c r="F54" s="147" t="s">
        <v>57</v>
      </c>
      <c r="G54" s="148">
        <f>+G53</f>
        <v>100000</v>
      </c>
      <c r="H54" s="149">
        <v>1</v>
      </c>
      <c r="I54" s="150">
        <f>+H54*G54</f>
        <v>100000</v>
      </c>
      <c r="J54" s="149">
        <v>1</v>
      </c>
      <c r="K54" s="150">
        <f t="shared" si="2"/>
        <v>100000</v>
      </c>
      <c r="L54" s="149">
        <v>1</v>
      </c>
      <c r="M54" s="150">
        <f t="shared" si="8"/>
        <v>100000</v>
      </c>
      <c r="N54" s="1"/>
    </row>
    <row r="55" spans="2:14">
      <c r="B55" s="315"/>
      <c r="C55" s="403" t="s">
        <v>6</v>
      </c>
      <c r="D55" s="404"/>
      <c r="E55" s="319"/>
      <c r="F55" s="335"/>
      <c r="G55" s="269"/>
      <c r="H55" s="337"/>
      <c r="I55" s="338">
        <f>+I51+I46+I43+I37</f>
        <v>6616250</v>
      </c>
      <c r="J55" s="337"/>
      <c r="K55" s="338">
        <f>+K51+K46+K43+K37</f>
        <v>3693750</v>
      </c>
      <c r="L55" s="337"/>
      <c r="M55" s="338">
        <f>+M51+M46+M43+M37</f>
        <v>3693750</v>
      </c>
      <c r="N55" s="1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</sheetData>
  <mergeCells count="21">
    <mergeCell ref="L35:M35"/>
    <mergeCell ref="C11:D11"/>
    <mergeCell ref="C17:D17"/>
    <mergeCell ref="B34:K34"/>
    <mergeCell ref="B35:B36"/>
    <mergeCell ref="D35:D36"/>
    <mergeCell ref="D27:E27"/>
    <mergeCell ref="F35:F36"/>
    <mergeCell ref="H35:I35"/>
    <mergeCell ref="J35:K35"/>
    <mergeCell ref="B7:I7"/>
    <mergeCell ref="B8:B9"/>
    <mergeCell ref="D8:D9"/>
    <mergeCell ref="H8:I8"/>
    <mergeCell ref="C10:D10"/>
    <mergeCell ref="F8:F9"/>
    <mergeCell ref="C37:D37"/>
    <mergeCell ref="C43:D43"/>
    <mergeCell ref="C46:D46"/>
    <mergeCell ref="C51:D51"/>
    <mergeCell ref="C55:D5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N149"/>
  <sheetViews>
    <sheetView topLeftCell="A125" zoomScale="70" zoomScaleNormal="70" workbookViewId="0">
      <selection activeCell="A125" sqref="A125"/>
    </sheetView>
  </sheetViews>
  <sheetFormatPr defaultRowHeight="15"/>
  <cols>
    <col min="2" max="2" width="5.140625" customWidth="1"/>
    <col min="3" max="3" width="4.7109375" customWidth="1"/>
    <col min="4" max="4" width="27.42578125" customWidth="1"/>
    <col min="5" max="5" width="8.140625" customWidth="1"/>
    <col min="6" max="6" width="9.7109375" customWidth="1"/>
    <col min="7" max="7" width="12.42578125" customWidth="1"/>
    <col min="8" max="8" width="15.28515625" customWidth="1"/>
    <col min="9" max="9" width="11.85546875" customWidth="1"/>
    <col min="10" max="10" width="15" customWidth="1"/>
    <col min="11" max="11" width="11.7109375" customWidth="1"/>
    <col min="12" max="12" width="15.85546875" customWidth="1"/>
    <col min="13" max="13" width="11.28515625" customWidth="1"/>
    <col min="14" max="14" width="12" customWidth="1"/>
  </cols>
  <sheetData>
    <row r="2" spans="2:13">
      <c r="B2" s="2" t="s">
        <v>296</v>
      </c>
      <c r="C2" s="2"/>
      <c r="D2" s="2"/>
      <c r="E2" s="2"/>
    </row>
    <row r="3" spans="2:13">
      <c r="B3" s="1" t="s">
        <v>1</v>
      </c>
      <c r="C3" s="1"/>
      <c r="D3" s="1"/>
      <c r="E3" s="15" t="s">
        <v>7</v>
      </c>
      <c r="F3" t="s">
        <v>78</v>
      </c>
    </row>
    <row r="4" spans="2:13">
      <c r="B4" s="1" t="s">
        <v>2</v>
      </c>
      <c r="C4" s="1"/>
      <c r="D4" s="1"/>
      <c r="E4" s="15" t="s">
        <v>7</v>
      </c>
      <c r="F4" t="s">
        <v>323</v>
      </c>
    </row>
    <row r="5" spans="2:13">
      <c r="B5" t="s">
        <v>94</v>
      </c>
      <c r="E5" s="15" t="s">
        <v>7</v>
      </c>
      <c r="F5" t="s">
        <v>95</v>
      </c>
    </row>
    <row r="7" spans="2:13">
      <c r="B7" s="430" t="s">
        <v>263</v>
      </c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</row>
    <row r="8" spans="2:13">
      <c r="B8" s="406" t="s">
        <v>3</v>
      </c>
      <c r="C8" s="296"/>
      <c r="D8" s="408" t="s">
        <v>114</v>
      </c>
      <c r="E8" s="251"/>
      <c r="F8" s="406" t="s">
        <v>4</v>
      </c>
      <c r="G8" s="248" t="s">
        <v>115</v>
      </c>
      <c r="H8" s="443" t="s">
        <v>169</v>
      </c>
      <c r="I8" s="444"/>
      <c r="J8" s="445" t="s">
        <v>170</v>
      </c>
      <c r="K8" s="445"/>
      <c r="L8" s="443" t="s">
        <v>171</v>
      </c>
      <c r="M8" s="444"/>
    </row>
    <row r="9" spans="2:13">
      <c r="B9" s="407"/>
      <c r="C9" s="297"/>
      <c r="D9" s="409"/>
      <c r="E9" s="252"/>
      <c r="F9" s="407"/>
      <c r="G9" s="298" t="s">
        <v>117</v>
      </c>
      <c r="H9" s="247" t="s">
        <v>118</v>
      </c>
      <c r="I9" s="247" t="s">
        <v>119</v>
      </c>
      <c r="J9" s="247" t="s">
        <v>118</v>
      </c>
      <c r="K9" s="247" t="s">
        <v>119</v>
      </c>
      <c r="L9" s="247" t="s">
        <v>118</v>
      </c>
      <c r="M9" s="247" t="s">
        <v>119</v>
      </c>
    </row>
    <row r="10" spans="2:13">
      <c r="B10" s="271" t="s">
        <v>18</v>
      </c>
      <c r="C10" s="412" t="s">
        <v>313</v>
      </c>
      <c r="D10" s="412"/>
      <c r="E10" s="267"/>
      <c r="F10" s="268"/>
      <c r="G10" s="267"/>
      <c r="H10" s="268"/>
      <c r="I10" s="299">
        <f>SUM(I11:I12)</f>
        <v>2530000</v>
      </c>
      <c r="J10" s="267"/>
      <c r="K10" s="300">
        <f>SUM(K11:K12)</f>
        <v>2530000</v>
      </c>
      <c r="L10" s="267"/>
      <c r="M10" s="300">
        <f>SUM(M11:M12)</f>
        <v>2530000</v>
      </c>
    </row>
    <row r="11" spans="2:13">
      <c r="B11" s="284" t="s">
        <v>8</v>
      </c>
      <c r="C11" s="301" t="s">
        <v>142</v>
      </c>
      <c r="D11" s="281" t="s">
        <v>315</v>
      </c>
      <c r="E11" s="281"/>
      <c r="F11" s="284" t="s">
        <v>57</v>
      </c>
      <c r="G11" s="302">
        <f>+'Tabel Lampiran 4'!G38</f>
        <v>100000</v>
      </c>
      <c r="H11" s="340">
        <v>25</v>
      </c>
      <c r="I11" s="294">
        <f>+H11*G11</f>
        <v>2500000</v>
      </c>
      <c r="J11" s="303">
        <f>+H11</f>
        <v>25</v>
      </c>
      <c r="K11" s="294">
        <f>+J11*G11</f>
        <v>2500000</v>
      </c>
      <c r="L11" s="303">
        <f>+H11</f>
        <v>25</v>
      </c>
      <c r="M11" s="294">
        <f>+L11*G11</f>
        <v>2500000</v>
      </c>
    </row>
    <row r="12" spans="2:13">
      <c r="B12" s="268"/>
      <c r="C12" s="304" t="s">
        <v>143</v>
      </c>
      <c r="D12" s="267" t="s">
        <v>173</v>
      </c>
      <c r="E12" s="267"/>
      <c r="F12" s="268"/>
      <c r="G12" s="276"/>
      <c r="H12" s="268"/>
      <c r="I12" s="305">
        <f>SUM(I13:I13)</f>
        <v>30000</v>
      </c>
      <c r="J12" s="267"/>
      <c r="K12" s="305">
        <f>SUM(K13:K13)</f>
        <v>30000</v>
      </c>
      <c r="L12" s="267"/>
      <c r="M12" s="305">
        <f>SUM(M13:M13)</f>
        <v>30000</v>
      </c>
    </row>
    <row r="13" spans="2:13">
      <c r="B13" s="284"/>
      <c r="C13" s="306"/>
      <c r="D13" s="281" t="s">
        <v>314</v>
      </c>
      <c r="E13" s="281"/>
      <c r="F13" s="284" t="s">
        <v>87</v>
      </c>
      <c r="G13" s="302">
        <v>30000</v>
      </c>
      <c r="H13" s="269">
        <v>1</v>
      </c>
      <c r="I13" s="294">
        <f t="shared" ref="I13:I26" si="0">+H13*G13</f>
        <v>30000</v>
      </c>
      <c r="J13" s="303">
        <v>1</v>
      </c>
      <c r="K13" s="294">
        <f t="shared" ref="K13:K26" si="1">+J13*G13</f>
        <v>30000</v>
      </c>
      <c r="L13" s="303">
        <v>1</v>
      </c>
      <c r="M13" s="294">
        <f t="shared" ref="M13:M26" si="2">+L13*G13</f>
        <v>30000</v>
      </c>
    </row>
    <row r="14" spans="2:13">
      <c r="B14" s="307" t="s">
        <v>21</v>
      </c>
      <c r="C14" s="436" t="s">
        <v>174</v>
      </c>
      <c r="D14" s="436"/>
      <c r="E14" s="281"/>
      <c r="F14" s="284"/>
      <c r="G14" s="308"/>
      <c r="H14" s="284"/>
      <c r="I14" s="278">
        <f>+I15+I19+I22</f>
        <v>3724500</v>
      </c>
      <c r="J14" s="281"/>
      <c r="K14" s="278">
        <f>+K15+K19+K22</f>
        <v>3974500</v>
      </c>
      <c r="L14" s="281"/>
      <c r="M14" s="278">
        <f>+M15+M19+M22</f>
        <v>3724500</v>
      </c>
    </row>
    <row r="15" spans="2:13">
      <c r="B15" s="268"/>
      <c r="C15" s="304" t="s">
        <v>153</v>
      </c>
      <c r="D15" s="267" t="s">
        <v>175</v>
      </c>
      <c r="E15" s="267"/>
      <c r="F15" s="268"/>
      <c r="G15" s="276"/>
      <c r="H15" s="268"/>
      <c r="I15" s="278">
        <f>SUM(I16:I18)</f>
        <v>750000</v>
      </c>
      <c r="J15" s="267"/>
      <c r="K15" s="278">
        <f>SUM(K16:K18)</f>
        <v>1000000</v>
      </c>
      <c r="L15" s="267"/>
      <c r="M15" s="278">
        <f>SUM(M16:M18)</f>
        <v>750000</v>
      </c>
    </row>
    <row r="16" spans="2:13">
      <c r="B16" s="284"/>
      <c r="C16" s="306"/>
      <c r="D16" s="281" t="s">
        <v>146</v>
      </c>
      <c r="E16" s="281"/>
      <c r="F16" s="284" t="s">
        <v>57</v>
      </c>
      <c r="G16" s="302">
        <f>+G11</f>
        <v>100000</v>
      </c>
      <c r="H16" s="269">
        <v>6</v>
      </c>
      <c r="I16" s="294">
        <f t="shared" si="0"/>
        <v>600000</v>
      </c>
      <c r="J16" s="303">
        <v>6</v>
      </c>
      <c r="K16" s="294">
        <f t="shared" si="1"/>
        <v>600000</v>
      </c>
      <c r="L16" s="303">
        <v>6</v>
      </c>
      <c r="M16" s="294">
        <f t="shared" si="2"/>
        <v>600000</v>
      </c>
    </row>
    <row r="17" spans="2:13">
      <c r="B17" s="268"/>
      <c r="C17" s="177"/>
      <c r="D17" s="267" t="s">
        <v>149</v>
      </c>
      <c r="E17" s="267"/>
      <c r="F17" s="268" t="s">
        <v>145</v>
      </c>
      <c r="G17" s="309">
        <v>75000</v>
      </c>
      <c r="H17" s="310">
        <v>2</v>
      </c>
      <c r="I17" s="294">
        <f t="shared" si="0"/>
        <v>150000</v>
      </c>
      <c r="J17" s="311">
        <v>2</v>
      </c>
      <c r="K17" s="294">
        <f t="shared" si="1"/>
        <v>150000</v>
      </c>
      <c r="L17" s="311">
        <v>2</v>
      </c>
      <c r="M17" s="294">
        <f t="shared" si="2"/>
        <v>150000</v>
      </c>
    </row>
    <row r="18" spans="2:13">
      <c r="B18" s="284"/>
      <c r="C18" s="306"/>
      <c r="D18" s="281" t="s">
        <v>176</v>
      </c>
      <c r="E18" s="281"/>
      <c r="F18" s="284" t="s">
        <v>87</v>
      </c>
      <c r="G18" s="302">
        <v>250000</v>
      </c>
      <c r="H18" s="269">
        <v>0</v>
      </c>
      <c r="I18" s="294">
        <f t="shared" si="0"/>
        <v>0</v>
      </c>
      <c r="J18" s="303">
        <v>1</v>
      </c>
      <c r="K18" s="294">
        <f t="shared" si="1"/>
        <v>250000</v>
      </c>
      <c r="L18" s="303">
        <v>0</v>
      </c>
      <c r="M18" s="294">
        <f t="shared" si="2"/>
        <v>0</v>
      </c>
    </row>
    <row r="19" spans="2:13" ht="15.75" customHeight="1">
      <c r="B19" s="268"/>
      <c r="C19" s="312" t="s">
        <v>154</v>
      </c>
      <c r="D19" s="441" t="s">
        <v>177</v>
      </c>
      <c r="E19" s="442"/>
      <c r="F19" s="268"/>
      <c r="G19" s="276"/>
      <c r="H19" s="268"/>
      <c r="I19" s="278">
        <f>SUM(I20:I21)</f>
        <v>400000</v>
      </c>
      <c r="J19" s="267"/>
      <c r="K19" s="278">
        <f>SUM(K20:K21)</f>
        <v>400000</v>
      </c>
      <c r="L19" s="267"/>
      <c r="M19" s="278">
        <f>SUM(M20:M21)</f>
        <v>400000</v>
      </c>
    </row>
    <row r="20" spans="2:13">
      <c r="B20" s="284"/>
      <c r="C20" s="306"/>
      <c r="D20" s="281" t="s">
        <v>56</v>
      </c>
      <c r="E20" s="281"/>
      <c r="F20" s="284" t="s">
        <v>57</v>
      </c>
      <c r="G20" s="302">
        <f>+G16</f>
        <v>100000</v>
      </c>
      <c r="H20" s="269">
        <v>3</v>
      </c>
      <c r="I20" s="294">
        <f t="shared" si="0"/>
        <v>300000</v>
      </c>
      <c r="J20" s="303">
        <v>3</v>
      </c>
      <c r="K20" s="294">
        <f t="shared" si="1"/>
        <v>300000</v>
      </c>
      <c r="L20" s="303">
        <v>3</v>
      </c>
      <c r="M20" s="294">
        <f t="shared" si="2"/>
        <v>300000</v>
      </c>
    </row>
    <row r="21" spans="2:13">
      <c r="B21" s="268"/>
      <c r="C21" s="177"/>
      <c r="D21" s="267" t="s">
        <v>178</v>
      </c>
      <c r="E21" s="267"/>
      <c r="F21" s="268" t="s">
        <v>55</v>
      </c>
      <c r="G21" s="313">
        <v>50000</v>
      </c>
      <c r="H21" s="310">
        <v>2</v>
      </c>
      <c r="I21" s="294">
        <f t="shared" si="0"/>
        <v>100000</v>
      </c>
      <c r="J21" s="311">
        <v>2</v>
      </c>
      <c r="K21" s="294">
        <f t="shared" si="1"/>
        <v>100000</v>
      </c>
      <c r="L21" s="311">
        <v>2</v>
      </c>
      <c r="M21" s="294">
        <f t="shared" si="2"/>
        <v>100000</v>
      </c>
    </row>
    <row r="22" spans="2:13">
      <c r="B22" s="284"/>
      <c r="C22" s="301" t="s">
        <v>179</v>
      </c>
      <c r="D22" s="281" t="s">
        <v>156</v>
      </c>
      <c r="E22" s="314"/>
      <c r="F22" s="284"/>
      <c r="G22" s="308"/>
      <c r="H22" s="284"/>
      <c r="I22" s="278">
        <f>SUM(I23:I26)</f>
        <v>2574500</v>
      </c>
      <c r="J22" s="281"/>
      <c r="K22" s="278">
        <f>SUM(K23:K26)</f>
        <v>2574500</v>
      </c>
      <c r="L22" s="281"/>
      <c r="M22" s="278">
        <f>SUM(M23:M26)</f>
        <v>2574500</v>
      </c>
    </row>
    <row r="23" spans="2:13">
      <c r="B23" s="268"/>
      <c r="C23" s="177"/>
      <c r="D23" s="267" t="s">
        <v>56</v>
      </c>
      <c r="E23" s="267"/>
      <c r="F23" s="268" t="s">
        <v>57</v>
      </c>
      <c r="G23" s="313">
        <f>+G20</f>
        <v>100000</v>
      </c>
      <c r="H23" s="310">
        <v>6</v>
      </c>
      <c r="I23" s="294">
        <f t="shared" si="0"/>
        <v>600000</v>
      </c>
      <c r="J23" s="311">
        <v>6</v>
      </c>
      <c r="K23" s="294">
        <f t="shared" si="1"/>
        <v>600000</v>
      </c>
      <c r="L23" s="311">
        <v>6</v>
      </c>
      <c r="M23" s="294">
        <f t="shared" si="2"/>
        <v>600000</v>
      </c>
    </row>
    <row r="24" spans="2:13">
      <c r="B24" s="315"/>
      <c r="C24" s="306"/>
      <c r="D24" s="281" t="s">
        <v>157</v>
      </c>
      <c r="E24" s="281"/>
      <c r="F24" s="284" t="s">
        <v>84</v>
      </c>
      <c r="G24" s="316">
        <v>3000</v>
      </c>
      <c r="H24" s="269">
        <v>192.5</v>
      </c>
      <c r="I24" s="294">
        <f t="shared" si="0"/>
        <v>577500</v>
      </c>
      <c r="J24" s="303">
        <v>192.5</v>
      </c>
      <c r="K24" s="294">
        <f t="shared" si="1"/>
        <v>577500</v>
      </c>
      <c r="L24" s="303">
        <v>192.5</v>
      </c>
      <c r="M24" s="294">
        <f t="shared" si="2"/>
        <v>577500</v>
      </c>
    </row>
    <row r="25" spans="2:13">
      <c r="B25" s="317"/>
      <c r="C25" s="177"/>
      <c r="D25" s="267" t="s">
        <v>159</v>
      </c>
      <c r="E25" s="267"/>
      <c r="F25" s="268" t="s">
        <v>84</v>
      </c>
      <c r="G25" s="309">
        <v>4000</v>
      </c>
      <c r="H25" s="310">
        <v>143</v>
      </c>
      <c r="I25" s="294">
        <f t="shared" si="0"/>
        <v>572000</v>
      </c>
      <c r="J25" s="311">
        <v>143</v>
      </c>
      <c r="K25" s="294">
        <f t="shared" si="1"/>
        <v>572000</v>
      </c>
      <c r="L25" s="311">
        <v>143</v>
      </c>
      <c r="M25" s="294">
        <f t="shared" si="2"/>
        <v>572000</v>
      </c>
    </row>
    <row r="26" spans="2:13">
      <c r="B26" s="284"/>
      <c r="C26" s="306"/>
      <c r="D26" s="281" t="s">
        <v>180</v>
      </c>
      <c r="E26" s="281"/>
      <c r="F26" s="284" t="s">
        <v>84</v>
      </c>
      <c r="G26" s="316">
        <v>5000</v>
      </c>
      <c r="H26" s="269">
        <v>165</v>
      </c>
      <c r="I26" s="294">
        <f t="shared" si="0"/>
        <v>825000</v>
      </c>
      <c r="J26" s="303">
        <v>165</v>
      </c>
      <c r="K26" s="294">
        <f t="shared" si="1"/>
        <v>825000</v>
      </c>
      <c r="L26" s="303">
        <v>165</v>
      </c>
      <c r="M26" s="294">
        <f t="shared" si="2"/>
        <v>825000</v>
      </c>
    </row>
    <row r="27" spans="2:13">
      <c r="B27" s="318"/>
      <c r="C27" s="403" t="s">
        <v>6</v>
      </c>
      <c r="D27" s="404"/>
      <c r="E27" s="319"/>
      <c r="F27" s="284"/>
      <c r="G27" s="281"/>
      <c r="H27" s="284"/>
      <c r="I27" s="278">
        <f>+I22+I19+I15+I10</f>
        <v>6254500</v>
      </c>
      <c r="J27" s="281"/>
      <c r="K27" s="278">
        <f>+K22+K19+K15+K10</f>
        <v>6504500</v>
      </c>
      <c r="L27" s="281"/>
      <c r="M27" s="278">
        <f>+M22+M19+M15+M10</f>
        <v>6254500</v>
      </c>
    </row>
    <row r="28" spans="2:13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2:1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30" t="s">
        <v>264</v>
      </c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1"/>
    </row>
    <row r="31" spans="2:13">
      <c r="B31" s="437" t="s">
        <v>3</v>
      </c>
      <c r="C31" s="158"/>
      <c r="D31" s="439" t="s">
        <v>114</v>
      </c>
      <c r="E31" s="439" t="s">
        <v>4</v>
      </c>
      <c r="F31" s="160" t="s">
        <v>115</v>
      </c>
      <c r="G31" s="432" t="s">
        <v>181</v>
      </c>
      <c r="H31" s="433"/>
      <c r="I31" s="432" t="s">
        <v>182</v>
      </c>
      <c r="J31" s="433"/>
      <c r="K31" s="432" t="s">
        <v>183</v>
      </c>
      <c r="L31" s="433"/>
      <c r="M31" s="1"/>
    </row>
    <row r="32" spans="2:13" ht="22.5" customHeight="1">
      <c r="B32" s="438"/>
      <c r="C32" s="159"/>
      <c r="D32" s="440"/>
      <c r="E32" s="440"/>
      <c r="F32" s="249" t="s">
        <v>288</v>
      </c>
      <c r="G32" s="161" t="s">
        <v>118</v>
      </c>
      <c r="H32" s="162" t="s">
        <v>119</v>
      </c>
      <c r="I32" s="161" t="s">
        <v>118</v>
      </c>
      <c r="J32" s="162" t="s">
        <v>119</v>
      </c>
      <c r="K32" s="161" t="s">
        <v>118</v>
      </c>
      <c r="L32" s="162" t="s">
        <v>119</v>
      </c>
      <c r="M32" s="1"/>
    </row>
    <row r="33" spans="2:13" ht="15" customHeight="1">
      <c r="B33" s="320" t="s">
        <v>18</v>
      </c>
      <c r="C33" s="434" t="s">
        <v>313</v>
      </c>
      <c r="D33" s="435"/>
      <c r="E33" s="321"/>
      <c r="F33" s="268"/>
      <c r="G33" s="268"/>
      <c r="H33" s="322">
        <f>SUM(H34:H35)</f>
        <v>2530000</v>
      </c>
      <c r="I33" s="268"/>
      <c r="J33" s="322">
        <f>SUM(J34:J35)</f>
        <v>2530000</v>
      </c>
      <c r="K33" s="268"/>
      <c r="L33" s="322">
        <f>SUM(L34:L35)</f>
        <v>2530000</v>
      </c>
      <c r="M33" s="1"/>
    </row>
    <row r="34" spans="2:13">
      <c r="B34" s="284" t="s">
        <v>8</v>
      </c>
      <c r="C34" s="330" t="s">
        <v>142</v>
      </c>
      <c r="D34" s="314" t="s">
        <v>315</v>
      </c>
      <c r="E34" s="314" t="s">
        <v>57</v>
      </c>
      <c r="F34" s="302">
        <f>+G23</f>
        <v>100000</v>
      </c>
      <c r="G34" s="269">
        <f>+H11</f>
        <v>25</v>
      </c>
      <c r="H34" s="323">
        <f>+G34*F34</f>
        <v>2500000</v>
      </c>
      <c r="I34" s="269">
        <f>+G34</f>
        <v>25</v>
      </c>
      <c r="J34" s="323">
        <f>+I34*F34</f>
        <v>2500000</v>
      </c>
      <c r="K34" s="269">
        <f>+I34</f>
        <v>25</v>
      </c>
      <c r="L34" s="323">
        <f>+K34*F34</f>
        <v>2500000</v>
      </c>
      <c r="M34" s="1"/>
    </row>
    <row r="35" spans="2:13">
      <c r="B35" s="268"/>
      <c r="C35" s="341" t="s">
        <v>143</v>
      </c>
      <c r="D35" s="321" t="s">
        <v>173</v>
      </c>
      <c r="E35" s="321"/>
      <c r="F35" s="276"/>
      <c r="G35" s="268"/>
      <c r="H35" s="324">
        <f>SUM(H36:H36)</f>
        <v>30000</v>
      </c>
      <c r="I35" s="268"/>
      <c r="J35" s="323">
        <f>SUM(J36:J36)</f>
        <v>30000</v>
      </c>
      <c r="K35" s="268"/>
      <c r="L35" s="323">
        <f>SUM(L36:L36)</f>
        <v>30000</v>
      </c>
      <c r="M35" s="1"/>
    </row>
    <row r="36" spans="2:13" ht="16.5" customHeight="1">
      <c r="B36" s="284"/>
      <c r="C36" s="280"/>
      <c r="D36" s="314" t="s">
        <v>314</v>
      </c>
      <c r="E36" s="314" t="s">
        <v>87</v>
      </c>
      <c r="F36" s="302">
        <v>30000</v>
      </c>
      <c r="G36" s="269">
        <v>1</v>
      </c>
      <c r="H36" s="323">
        <f t="shared" ref="H36:H49" si="3">+G36*F36</f>
        <v>30000</v>
      </c>
      <c r="I36" s="269">
        <v>1</v>
      </c>
      <c r="J36" s="323">
        <f t="shared" ref="J36:J49" si="4">+I36*F36</f>
        <v>30000</v>
      </c>
      <c r="K36" s="269">
        <v>1</v>
      </c>
      <c r="L36" s="323">
        <f t="shared" ref="L36:L49" si="5">+K36*F36</f>
        <v>30000</v>
      </c>
      <c r="M36" s="1"/>
    </row>
    <row r="37" spans="2:13">
      <c r="B37" s="307" t="s">
        <v>21</v>
      </c>
      <c r="C37" s="436" t="s">
        <v>174</v>
      </c>
      <c r="D37" s="425"/>
      <c r="E37" s="284"/>
      <c r="F37" s="284"/>
      <c r="G37" s="284"/>
      <c r="H37" s="270">
        <f>+H38+H42+H45</f>
        <v>3974500</v>
      </c>
      <c r="I37" s="284"/>
      <c r="J37" s="270">
        <f>+J38+J42+J45</f>
        <v>3724500</v>
      </c>
      <c r="K37" s="284"/>
      <c r="L37" s="270">
        <f>+L38+L42+L45</f>
        <v>3974500</v>
      </c>
      <c r="M37" s="1"/>
    </row>
    <row r="38" spans="2:13">
      <c r="B38" s="268"/>
      <c r="C38" s="304" t="s">
        <v>153</v>
      </c>
      <c r="D38" s="267" t="s">
        <v>175</v>
      </c>
      <c r="E38" s="284"/>
      <c r="F38" s="284"/>
      <c r="G38" s="284"/>
      <c r="H38" s="270">
        <f>SUM(H39:H41)</f>
        <v>1000000</v>
      </c>
      <c r="I38" s="284"/>
      <c r="J38" s="270">
        <f>SUM(J39:J41)</f>
        <v>750000</v>
      </c>
      <c r="K38" s="284"/>
      <c r="L38" s="270">
        <f>SUM(L39:L41)</f>
        <v>1000000</v>
      </c>
      <c r="M38" s="1"/>
    </row>
    <row r="39" spans="2:13" ht="15" customHeight="1">
      <c r="B39" s="284"/>
      <c r="C39" s="306"/>
      <c r="D39" s="314" t="s">
        <v>146</v>
      </c>
      <c r="E39" s="284" t="s">
        <v>57</v>
      </c>
      <c r="F39" s="302">
        <f>+G23</f>
        <v>100000</v>
      </c>
      <c r="G39" s="269">
        <v>6</v>
      </c>
      <c r="H39" s="323">
        <f t="shared" si="3"/>
        <v>600000</v>
      </c>
      <c r="I39" s="269">
        <v>6</v>
      </c>
      <c r="J39" s="323">
        <f t="shared" si="4"/>
        <v>600000</v>
      </c>
      <c r="K39" s="269">
        <v>6</v>
      </c>
      <c r="L39" s="323">
        <f t="shared" si="5"/>
        <v>600000</v>
      </c>
      <c r="M39" s="1"/>
    </row>
    <row r="40" spans="2:13" ht="16.5" customHeight="1">
      <c r="B40" s="268"/>
      <c r="C40" s="177"/>
      <c r="D40" s="267" t="s">
        <v>149</v>
      </c>
      <c r="E40" s="284" t="s">
        <v>145</v>
      </c>
      <c r="F40" s="309">
        <v>75000</v>
      </c>
      <c r="G40" s="269">
        <v>2</v>
      </c>
      <c r="H40" s="323">
        <f t="shared" si="3"/>
        <v>150000</v>
      </c>
      <c r="I40" s="269">
        <v>2</v>
      </c>
      <c r="J40" s="323">
        <f t="shared" si="4"/>
        <v>150000</v>
      </c>
      <c r="K40" s="269">
        <v>2</v>
      </c>
      <c r="L40" s="323">
        <f t="shared" si="5"/>
        <v>150000</v>
      </c>
      <c r="M40" s="1"/>
    </row>
    <row r="41" spans="2:13" ht="18" customHeight="1">
      <c r="B41" s="284"/>
      <c r="C41" s="306" t="s">
        <v>8</v>
      </c>
      <c r="D41" s="314" t="s">
        <v>176</v>
      </c>
      <c r="E41" s="284" t="s">
        <v>87</v>
      </c>
      <c r="F41" s="302">
        <v>250000</v>
      </c>
      <c r="G41" s="269">
        <v>1</v>
      </c>
      <c r="H41" s="323">
        <f t="shared" si="3"/>
        <v>250000</v>
      </c>
      <c r="I41" s="269">
        <v>0</v>
      </c>
      <c r="J41" s="323">
        <f t="shared" si="4"/>
        <v>0</v>
      </c>
      <c r="K41" s="269">
        <v>1</v>
      </c>
      <c r="L41" s="323">
        <f t="shared" si="5"/>
        <v>250000</v>
      </c>
      <c r="M41" s="1"/>
    </row>
    <row r="42" spans="2:13" ht="21" customHeight="1">
      <c r="B42" s="268"/>
      <c r="C42" s="312" t="s">
        <v>154</v>
      </c>
      <c r="D42" s="325" t="s">
        <v>177</v>
      </c>
      <c r="E42" s="284"/>
      <c r="F42" s="276"/>
      <c r="G42" s="284"/>
      <c r="H42" s="270">
        <f>SUM(H43:H44)</f>
        <v>400000</v>
      </c>
      <c r="I42" s="284"/>
      <c r="J42" s="270">
        <f>SUM(J43:J44)</f>
        <v>400000</v>
      </c>
      <c r="K42" s="284"/>
      <c r="L42" s="270">
        <f>SUM(L43:L44)</f>
        <v>400000</v>
      </c>
      <c r="M42" s="1"/>
    </row>
    <row r="43" spans="2:13">
      <c r="B43" s="284"/>
      <c r="C43" s="306"/>
      <c r="D43" s="314" t="s">
        <v>56</v>
      </c>
      <c r="E43" s="284" t="s">
        <v>57</v>
      </c>
      <c r="F43" s="302">
        <f>+F39</f>
        <v>100000</v>
      </c>
      <c r="G43" s="269">
        <v>3</v>
      </c>
      <c r="H43" s="323">
        <f t="shared" si="3"/>
        <v>300000</v>
      </c>
      <c r="I43" s="269">
        <v>3</v>
      </c>
      <c r="J43" s="323">
        <f t="shared" si="4"/>
        <v>300000</v>
      </c>
      <c r="K43" s="269">
        <v>3</v>
      </c>
      <c r="L43" s="323">
        <f t="shared" si="5"/>
        <v>300000</v>
      </c>
      <c r="M43" s="1"/>
    </row>
    <row r="44" spans="2:13" ht="15" customHeight="1">
      <c r="B44" s="268"/>
      <c r="C44" s="177" t="s">
        <v>8</v>
      </c>
      <c r="D44" s="267" t="s">
        <v>178</v>
      </c>
      <c r="E44" s="284" t="s">
        <v>55</v>
      </c>
      <c r="F44" s="313">
        <v>50000</v>
      </c>
      <c r="G44" s="269">
        <v>2</v>
      </c>
      <c r="H44" s="323">
        <f t="shared" si="3"/>
        <v>100000</v>
      </c>
      <c r="I44" s="269">
        <v>2</v>
      </c>
      <c r="J44" s="323">
        <f t="shared" si="4"/>
        <v>100000</v>
      </c>
      <c r="K44" s="269">
        <v>2</v>
      </c>
      <c r="L44" s="323">
        <f t="shared" si="5"/>
        <v>100000</v>
      </c>
      <c r="M44" s="1"/>
    </row>
    <row r="45" spans="2:13">
      <c r="B45" s="284"/>
      <c r="C45" s="301" t="s">
        <v>179</v>
      </c>
      <c r="D45" s="314" t="s">
        <v>156</v>
      </c>
      <c r="E45" s="284"/>
      <c r="F45" s="308"/>
      <c r="G45" s="284"/>
      <c r="H45" s="270">
        <f>SUM(H46:H49)</f>
        <v>2574500</v>
      </c>
      <c r="I45" s="284"/>
      <c r="J45" s="270">
        <f>SUM(J46:J49)</f>
        <v>2574500</v>
      </c>
      <c r="K45" s="284"/>
      <c r="L45" s="270">
        <f>SUM(L46:L49)</f>
        <v>2574500</v>
      </c>
      <c r="M45" s="1"/>
    </row>
    <row r="46" spans="2:13" ht="14.25" customHeight="1">
      <c r="B46" s="317"/>
      <c r="C46" s="177"/>
      <c r="D46" s="267" t="s">
        <v>56</v>
      </c>
      <c r="E46" s="284" t="s">
        <v>57</v>
      </c>
      <c r="F46" s="313">
        <f>+F43</f>
        <v>100000</v>
      </c>
      <c r="G46" s="269">
        <v>6</v>
      </c>
      <c r="H46" s="323">
        <f t="shared" si="3"/>
        <v>600000</v>
      </c>
      <c r="I46" s="269">
        <v>6</v>
      </c>
      <c r="J46" s="323">
        <f t="shared" si="4"/>
        <v>600000</v>
      </c>
      <c r="K46" s="269">
        <v>6</v>
      </c>
      <c r="L46" s="323">
        <f t="shared" si="5"/>
        <v>600000</v>
      </c>
      <c r="M46" s="1"/>
    </row>
    <row r="47" spans="2:13">
      <c r="B47" s="315"/>
      <c r="C47" s="306"/>
      <c r="D47" s="314" t="s">
        <v>157</v>
      </c>
      <c r="E47" s="284" t="s">
        <v>84</v>
      </c>
      <c r="F47" s="316">
        <v>3000</v>
      </c>
      <c r="G47" s="269">
        <v>192.5</v>
      </c>
      <c r="H47" s="323">
        <f t="shared" si="3"/>
        <v>577500</v>
      </c>
      <c r="I47" s="269">
        <v>192.5</v>
      </c>
      <c r="J47" s="323">
        <f t="shared" si="4"/>
        <v>577500</v>
      </c>
      <c r="K47" s="269">
        <v>192.5</v>
      </c>
      <c r="L47" s="323">
        <f t="shared" si="5"/>
        <v>577500</v>
      </c>
      <c r="M47" s="1"/>
    </row>
    <row r="48" spans="2:13">
      <c r="B48" s="268"/>
      <c r="C48" s="177"/>
      <c r="D48" s="267" t="s">
        <v>159</v>
      </c>
      <c r="E48" s="284" t="s">
        <v>84</v>
      </c>
      <c r="F48" s="309">
        <v>4000</v>
      </c>
      <c r="G48" s="269">
        <v>143</v>
      </c>
      <c r="H48" s="323">
        <f t="shared" si="3"/>
        <v>572000</v>
      </c>
      <c r="I48" s="269">
        <v>143</v>
      </c>
      <c r="J48" s="323">
        <f t="shared" si="4"/>
        <v>572000</v>
      </c>
      <c r="K48" s="269">
        <v>143</v>
      </c>
      <c r="L48" s="323">
        <f t="shared" si="5"/>
        <v>572000</v>
      </c>
      <c r="M48" s="1"/>
    </row>
    <row r="49" spans="2:14">
      <c r="B49" s="315"/>
      <c r="C49" s="306"/>
      <c r="D49" s="314" t="s">
        <v>180</v>
      </c>
      <c r="E49" s="284" t="s">
        <v>84</v>
      </c>
      <c r="F49" s="316">
        <v>5000</v>
      </c>
      <c r="G49" s="269">
        <v>165</v>
      </c>
      <c r="H49" s="323">
        <f t="shared" si="3"/>
        <v>825000</v>
      </c>
      <c r="I49" s="269">
        <v>165</v>
      </c>
      <c r="J49" s="323">
        <f t="shared" si="4"/>
        <v>825000</v>
      </c>
      <c r="K49" s="269">
        <v>165</v>
      </c>
      <c r="L49" s="323">
        <f t="shared" si="5"/>
        <v>825000</v>
      </c>
      <c r="M49" s="1"/>
    </row>
    <row r="50" spans="2:14">
      <c r="B50" s="315"/>
      <c r="C50" s="403" t="s">
        <v>6</v>
      </c>
      <c r="D50" s="426"/>
      <c r="E50" s="284"/>
      <c r="F50" s="284"/>
      <c r="G50" s="284"/>
      <c r="H50" s="278">
        <f>+H45+H42+H38+H33</f>
        <v>6504500</v>
      </c>
      <c r="I50" s="284"/>
      <c r="J50" s="278">
        <f>+J45+J42+J38+J33</f>
        <v>6254500</v>
      </c>
      <c r="K50" s="284"/>
      <c r="L50" s="278">
        <f>+L45+L42+L38+L33</f>
        <v>6504500</v>
      </c>
      <c r="M50" s="1"/>
    </row>
    <row r="51" spans="2:14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1"/>
    </row>
    <row r="52" spans="2:14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1"/>
    </row>
    <row r="53" spans="2:14">
      <c r="B53" s="430" t="s">
        <v>265</v>
      </c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1"/>
    </row>
    <row r="54" spans="2:14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1"/>
    </row>
    <row r="55" spans="2:14">
      <c r="B55" s="427" t="s">
        <v>3</v>
      </c>
      <c r="C55" s="152"/>
      <c r="D55" s="428" t="s">
        <v>114</v>
      </c>
      <c r="E55" s="406" t="s">
        <v>4</v>
      </c>
      <c r="F55" s="163" t="s">
        <v>115</v>
      </c>
      <c r="G55" s="413" t="s">
        <v>184</v>
      </c>
      <c r="H55" s="413"/>
      <c r="I55" s="413" t="s">
        <v>185</v>
      </c>
      <c r="J55" s="413"/>
      <c r="K55" s="413" t="s">
        <v>186</v>
      </c>
      <c r="L55" s="413"/>
      <c r="M55" s="1"/>
      <c r="N55" s="1"/>
    </row>
    <row r="56" spans="2:14">
      <c r="B56" s="427"/>
      <c r="C56" s="153"/>
      <c r="D56" s="429"/>
      <c r="E56" s="407"/>
      <c r="F56" s="246" t="s">
        <v>288</v>
      </c>
      <c r="G56" s="250" t="s">
        <v>118</v>
      </c>
      <c r="H56" s="250" t="s">
        <v>119</v>
      </c>
      <c r="I56" s="250" t="s">
        <v>118</v>
      </c>
      <c r="J56" s="250" t="s">
        <v>119</v>
      </c>
      <c r="K56" s="250" t="s">
        <v>118</v>
      </c>
      <c r="L56" s="250" t="s">
        <v>119</v>
      </c>
      <c r="M56" s="1"/>
      <c r="N56" s="1"/>
    </row>
    <row r="57" spans="2:14" ht="15" customHeight="1">
      <c r="B57" s="326" t="s">
        <v>18</v>
      </c>
      <c r="C57" s="412" t="s">
        <v>313</v>
      </c>
      <c r="D57" s="412"/>
      <c r="E57" s="283"/>
      <c r="F57" s="284"/>
      <c r="G57" s="284"/>
      <c r="H57" s="327">
        <f>+H58+H59</f>
        <v>2530000</v>
      </c>
      <c r="I57" s="284"/>
      <c r="J57" s="327">
        <f>+J58+J59</f>
        <v>2500000</v>
      </c>
      <c r="K57" s="284"/>
      <c r="L57" s="327">
        <f>+L58+L59</f>
        <v>2530000</v>
      </c>
      <c r="M57" s="1"/>
      <c r="N57" s="1"/>
    </row>
    <row r="58" spans="2:14">
      <c r="B58" s="284" t="s">
        <v>8</v>
      </c>
      <c r="C58" s="301" t="s">
        <v>142</v>
      </c>
      <c r="D58" s="281" t="s">
        <v>315</v>
      </c>
      <c r="E58" s="284" t="s">
        <v>57</v>
      </c>
      <c r="F58" s="302">
        <f>+F46</f>
        <v>100000</v>
      </c>
      <c r="G58" s="269">
        <f>+G34</f>
        <v>25</v>
      </c>
      <c r="H58" s="328">
        <f>+G58*F58</f>
        <v>2500000</v>
      </c>
      <c r="I58" s="269">
        <f>+G58</f>
        <v>25</v>
      </c>
      <c r="J58" s="328">
        <f>+I58*F58</f>
        <v>2500000</v>
      </c>
      <c r="K58" s="269">
        <f>+I58</f>
        <v>25</v>
      </c>
      <c r="L58" s="328">
        <f>+K58*F58</f>
        <v>2500000</v>
      </c>
      <c r="M58" s="1"/>
      <c r="N58" s="1"/>
    </row>
    <row r="59" spans="2:14">
      <c r="B59" s="284"/>
      <c r="C59" s="304" t="s">
        <v>143</v>
      </c>
      <c r="D59" s="267" t="s">
        <v>173</v>
      </c>
      <c r="E59" s="284"/>
      <c r="F59" s="276"/>
      <c r="G59" s="284"/>
      <c r="H59" s="329">
        <f>SUM(H60:H60)</f>
        <v>30000</v>
      </c>
      <c r="I59" s="284"/>
      <c r="J59" s="329">
        <f>SUM(J60:J60)</f>
        <v>0</v>
      </c>
      <c r="K59" s="284"/>
      <c r="L59" s="329">
        <f>SUM(L60:L60)</f>
        <v>30000</v>
      </c>
      <c r="M59" s="1"/>
      <c r="N59" s="1"/>
    </row>
    <row r="60" spans="2:14" ht="18.75" customHeight="1">
      <c r="B60" s="284"/>
      <c r="C60" s="306"/>
      <c r="D60" s="281" t="s">
        <v>314</v>
      </c>
      <c r="E60" s="284" t="s">
        <v>87</v>
      </c>
      <c r="F60" s="302">
        <v>30000</v>
      </c>
      <c r="G60" s="269">
        <v>1</v>
      </c>
      <c r="H60" s="328">
        <f t="shared" ref="H60:H73" si="6">+G60*F60</f>
        <v>30000</v>
      </c>
      <c r="I60" s="269">
        <v>0</v>
      </c>
      <c r="J60" s="328">
        <f t="shared" ref="J60:J73" si="7">+I60*F60</f>
        <v>0</v>
      </c>
      <c r="K60" s="269">
        <v>1</v>
      </c>
      <c r="L60" s="328">
        <f t="shared" ref="L60:L73" si="8">+K60*F60</f>
        <v>30000</v>
      </c>
      <c r="M60" s="1"/>
      <c r="N60" s="1"/>
    </row>
    <row r="61" spans="2:14">
      <c r="B61" s="307" t="s">
        <v>21</v>
      </c>
      <c r="C61" s="424" t="s">
        <v>174</v>
      </c>
      <c r="D61" s="425"/>
      <c r="E61" s="284"/>
      <c r="F61" s="284"/>
      <c r="G61" s="284"/>
      <c r="H61" s="327">
        <f>+H62+H66+H69</f>
        <v>3724500</v>
      </c>
      <c r="I61" s="284"/>
      <c r="J61" s="327">
        <f>+J62+J66+J69</f>
        <v>3974500</v>
      </c>
      <c r="K61" s="284" t="s">
        <v>8</v>
      </c>
      <c r="L61" s="327">
        <f>+L62+L66+L69</f>
        <v>3724500</v>
      </c>
      <c r="M61" s="1"/>
      <c r="N61" s="1"/>
    </row>
    <row r="62" spans="2:14">
      <c r="B62" s="284"/>
      <c r="C62" s="304" t="s">
        <v>153</v>
      </c>
      <c r="D62" s="267" t="s">
        <v>175</v>
      </c>
      <c r="E62" s="284"/>
      <c r="F62" s="284"/>
      <c r="G62" s="284"/>
      <c r="H62" s="327">
        <f>SUM(H63:H65)</f>
        <v>750000</v>
      </c>
      <c r="I62" s="284"/>
      <c r="J62" s="327">
        <f>SUM(J63:J65)</f>
        <v>1000000</v>
      </c>
      <c r="K62" s="284"/>
      <c r="L62" s="327">
        <f>SUM(L63:L65)</f>
        <v>750000</v>
      </c>
      <c r="M62" s="1"/>
      <c r="N62" s="1"/>
    </row>
    <row r="63" spans="2:14">
      <c r="B63" s="284"/>
      <c r="C63" s="280"/>
      <c r="D63" s="314" t="s">
        <v>146</v>
      </c>
      <c r="E63" s="284" t="s">
        <v>57</v>
      </c>
      <c r="F63" s="302">
        <f>+F58</f>
        <v>100000</v>
      </c>
      <c r="G63" s="269">
        <v>6</v>
      </c>
      <c r="H63" s="328">
        <f t="shared" si="6"/>
        <v>600000</v>
      </c>
      <c r="I63" s="269">
        <v>6</v>
      </c>
      <c r="J63" s="328">
        <f t="shared" si="7"/>
        <v>600000</v>
      </c>
      <c r="K63" s="269">
        <v>6</v>
      </c>
      <c r="L63" s="328">
        <f t="shared" si="8"/>
        <v>600000</v>
      </c>
      <c r="M63" s="1"/>
      <c r="N63" s="1"/>
    </row>
    <row r="64" spans="2:14">
      <c r="B64" s="284"/>
      <c r="C64" s="177"/>
      <c r="D64" s="267" t="s">
        <v>149</v>
      </c>
      <c r="E64" s="284" t="s">
        <v>145</v>
      </c>
      <c r="F64" s="309">
        <v>75000</v>
      </c>
      <c r="G64" s="269">
        <v>2</v>
      </c>
      <c r="H64" s="328">
        <f t="shared" si="6"/>
        <v>150000</v>
      </c>
      <c r="I64" s="269">
        <v>2</v>
      </c>
      <c r="J64" s="328">
        <f t="shared" si="7"/>
        <v>150000</v>
      </c>
      <c r="K64" s="269">
        <v>2</v>
      </c>
      <c r="L64" s="328">
        <f t="shared" si="8"/>
        <v>150000</v>
      </c>
      <c r="M64" s="1"/>
      <c r="N64" s="1"/>
    </row>
    <row r="65" spans="2:14" ht="18" customHeight="1">
      <c r="B65" s="284"/>
      <c r="C65" s="280" t="s">
        <v>8</v>
      </c>
      <c r="D65" s="314" t="s">
        <v>176</v>
      </c>
      <c r="E65" s="284" t="s">
        <v>87</v>
      </c>
      <c r="F65" s="302">
        <v>250000</v>
      </c>
      <c r="G65" s="269">
        <v>0</v>
      </c>
      <c r="H65" s="328">
        <f t="shared" si="6"/>
        <v>0</v>
      </c>
      <c r="I65" s="269">
        <v>1</v>
      </c>
      <c r="J65" s="328">
        <f t="shared" si="7"/>
        <v>250000</v>
      </c>
      <c r="K65" s="269">
        <v>0</v>
      </c>
      <c r="L65" s="328">
        <f t="shared" si="8"/>
        <v>0</v>
      </c>
      <c r="M65" s="1"/>
      <c r="N65" s="1"/>
    </row>
    <row r="66" spans="2:14">
      <c r="B66" s="284"/>
      <c r="C66" s="312" t="s">
        <v>154</v>
      </c>
      <c r="D66" s="267" t="s">
        <v>177</v>
      </c>
      <c r="E66" s="284"/>
      <c r="F66" s="276"/>
      <c r="G66" s="284"/>
      <c r="H66" s="327">
        <f>+H67+H68</f>
        <v>400000</v>
      </c>
      <c r="I66" s="284"/>
      <c r="J66" s="327">
        <f>+J67+J68</f>
        <v>400000</v>
      </c>
      <c r="K66" s="284"/>
      <c r="L66" s="327">
        <f>+L67+L68</f>
        <v>400000</v>
      </c>
      <c r="M66" s="1"/>
      <c r="N66" s="1"/>
    </row>
    <row r="67" spans="2:14">
      <c r="B67" s="284"/>
      <c r="C67" s="280"/>
      <c r="D67" s="314" t="s">
        <v>56</v>
      </c>
      <c r="E67" s="284" t="s">
        <v>57</v>
      </c>
      <c r="F67" s="302">
        <f>+F63</f>
        <v>100000</v>
      </c>
      <c r="G67" s="269">
        <v>3</v>
      </c>
      <c r="H67" s="328">
        <f t="shared" si="6"/>
        <v>300000</v>
      </c>
      <c r="I67" s="269">
        <v>3</v>
      </c>
      <c r="J67" s="328">
        <f t="shared" si="7"/>
        <v>300000</v>
      </c>
      <c r="K67" s="269">
        <v>3</v>
      </c>
      <c r="L67" s="328">
        <f t="shared" si="8"/>
        <v>300000</v>
      </c>
      <c r="M67" s="1"/>
      <c r="N67" s="1"/>
    </row>
    <row r="68" spans="2:14" ht="15" customHeight="1">
      <c r="B68" s="284"/>
      <c r="C68" s="177" t="s">
        <v>8</v>
      </c>
      <c r="D68" s="267" t="s">
        <v>178</v>
      </c>
      <c r="E68" s="284" t="s">
        <v>55</v>
      </c>
      <c r="F68" s="313">
        <v>50000</v>
      </c>
      <c r="G68" s="269">
        <v>2</v>
      </c>
      <c r="H68" s="328">
        <f t="shared" si="6"/>
        <v>100000</v>
      </c>
      <c r="I68" s="269">
        <v>2</v>
      </c>
      <c r="J68" s="328">
        <f t="shared" si="7"/>
        <v>100000</v>
      </c>
      <c r="K68" s="269">
        <v>2</v>
      </c>
      <c r="L68" s="328">
        <f t="shared" si="8"/>
        <v>100000</v>
      </c>
      <c r="M68" s="1"/>
      <c r="N68" s="1"/>
    </row>
    <row r="69" spans="2:14">
      <c r="B69" s="284"/>
      <c r="C69" s="330" t="s">
        <v>179</v>
      </c>
      <c r="D69" s="314" t="s">
        <v>156</v>
      </c>
      <c r="E69" s="284"/>
      <c r="F69" s="308"/>
      <c r="G69" s="284"/>
      <c r="H69" s="327">
        <f>SUM(H70:H73)</f>
        <v>2574500</v>
      </c>
      <c r="I69" s="284"/>
      <c r="J69" s="327">
        <f>SUM(J70:J73)</f>
        <v>2574500</v>
      </c>
      <c r="K69" s="284"/>
      <c r="L69" s="327">
        <f>SUM(L70:L73)</f>
        <v>2574500</v>
      </c>
      <c r="M69" s="1"/>
      <c r="N69" s="1"/>
    </row>
    <row r="70" spans="2:14">
      <c r="B70" s="315"/>
      <c r="C70" s="177"/>
      <c r="D70" s="267" t="s">
        <v>56</v>
      </c>
      <c r="E70" s="284" t="s">
        <v>57</v>
      </c>
      <c r="F70" s="313">
        <f>+F67</f>
        <v>100000</v>
      </c>
      <c r="G70" s="269">
        <v>6</v>
      </c>
      <c r="H70" s="328">
        <f t="shared" si="6"/>
        <v>600000</v>
      </c>
      <c r="I70" s="269">
        <v>6</v>
      </c>
      <c r="J70" s="328">
        <f t="shared" si="7"/>
        <v>600000</v>
      </c>
      <c r="K70" s="269">
        <v>6</v>
      </c>
      <c r="L70" s="328">
        <f t="shared" si="8"/>
        <v>600000</v>
      </c>
      <c r="M70" s="1"/>
      <c r="N70" s="1"/>
    </row>
    <row r="71" spans="2:14">
      <c r="B71" s="315"/>
      <c r="C71" s="280"/>
      <c r="D71" s="314" t="s">
        <v>157</v>
      </c>
      <c r="E71" s="284" t="s">
        <v>84</v>
      </c>
      <c r="F71" s="316">
        <v>3000</v>
      </c>
      <c r="G71" s="269">
        <v>192.5</v>
      </c>
      <c r="H71" s="328">
        <f t="shared" si="6"/>
        <v>577500</v>
      </c>
      <c r="I71" s="269">
        <v>192.5</v>
      </c>
      <c r="J71" s="328">
        <f t="shared" si="7"/>
        <v>577500</v>
      </c>
      <c r="K71" s="269">
        <v>192.5</v>
      </c>
      <c r="L71" s="328">
        <f t="shared" si="8"/>
        <v>577500</v>
      </c>
      <c r="M71" s="1"/>
      <c r="N71" s="1"/>
    </row>
    <row r="72" spans="2:14">
      <c r="B72" s="284"/>
      <c r="C72" s="177"/>
      <c r="D72" s="267" t="s">
        <v>159</v>
      </c>
      <c r="E72" s="284" t="s">
        <v>84</v>
      </c>
      <c r="F72" s="309">
        <v>4000</v>
      </c>
      <c r="G72" s="269">
        <v>143</v>
      </c>
      <c r="H72" s="328">
        <f t="shared" si="6"/>
        <v>572000</v>
      </c>
      <c r="I72" s="269">
        <v>143</v>
      </c>
      <c r="J72" s="328">
        <f t="shared" si="7"/>
        <v>572000</v>
      </c>
      <c r="K72" s="269">
        <v>143</v>
      </c>
      <c r="L72" s="328">
        <f t="shared" si="8"/>
        <v>572000</v>
      </c>
      <c r="M72" s="1"/>
      <c r="N72" s="1"/>
    </row>
    <row r="73" spans="2:14">
      <c r="B73" s="315"/>
      <c r="C73" s="280"/>
      <c r="D73" s="314" t="s">
        <v>180</v>
      </c>
      <c r="E73" s="284" t="s">
        <v>84</v>
      </c>
      <c r="F73" s="316">
        <v>5000</v>
      </c>
      <c r="G73" s="269">
        <v>165</v>
      </c>
      <c r="H73" s="328">
        <f t="shared" si="6"/>
        <v>825000</v>
      </c>
      <c r="I73" s="269">
        <v>165</v>
      </c>
      <c r="J73" s="328">
        <f t="shared" si="7"/>
        <v>825000</v>
      </c>
      <c r="K73" s="269">
        <v>165</v>
      </c>
      <c r="L73" s="328">
        <f t="shared" si="8"/>
        <v>825000</v>
      </c>
      <c r="M73" s="1"/>
      <c r="N73" s="1"/>
    </row>
    <row r="74" spans="2:14">
      <c r="B74" s="315"/>
      <c r="C74" s="403" t="s">
        <v>6</v>
      </c>
      <c r="D74" s="426"/>
      <c r="E74" s="284"/>
      <c r="F74" s="284"/>
      <c r="G74" s="284"/>
      <c r="H74" s="327">
        <f>+H69+H66+H62+H57</f>
        <v>6254500</v>
      </c>
      <c r="I74" s="284"/>
      <c r="J74" s="327">
        <f>+J69+J66+J62+J57</f>
        <v>6474500</v>
      </c>
      <c r="K74" s="284"/>
      <c r="L74" s="327">
        <f>+L69+L66+L62+L57</f>
        <v>6254500</v>
      </c>
      <c r="M74" s="1"/>
      <c r="N74" s="1"/>
    </row>
    <row r="75" spans="2:1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430" t="s">
        <v>266</v>
      </c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1"/>
      <c r="N77" s="1"/>
    </row>
    <row r="78" spans="2:1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>
      <c r="B79" s="431" t="s">
        <v>3</v>
      </c>
      <c r="C79" s="152"/>
      <c r="D79" s="428" t="s">
        <v>114</v>
      </c>
      <c r="E79" s="406" t="s">
        <v>4</v>
      </c>
      <c r="F79" s="163" t="s">
        <v>115</v>
      </c>
      <c r="G79" s="413" t="s">
        <v>187</v>
      </c>
      <c r="H79" s="413"/>
      <c r="I79" s="413" t="s">
        <v>188</v>
      </c>
      <c r="J79" s="413"/>
      <c r="K79" s="413" t="s">
        <v>189</v>
      </c>
      <c r="L79" s="413"/>
      <c r="M79" s="1"/>
      <c r="N79" s="1"/>
    </row>
    <row r="80" spans="2:14">
      <c r="B80" s="431"/>
      <c r="C80" s="153"/>
      <c r="D80" s="429"/>
      <c r="E80" s="407"/>
      <c r="F80" s="246" t="s">
        <v>288</v>
      </c>
      <c r="G80" s="250" t="s">
        <v>118</v>
      </c>
      <c r="H80" s="250" t="s">
        <v>119</v>
      </c>
      <c r="I80" s="250" t="s">
        <v>118</v>
      </c>
      <c r="J80" s="250" t="s">
        <v>119</v>
      </c>
      <c r="K80" s="250" t="s">
        <v>118</v>
      </c>
      <c r="L80" s="250" t="s">
        <v>119</v>
      </c>
      <c r="M80" s="1"/>
      <c r="N80" s="1"/>
    </row>
    <row r="81" spans="2:14">
      <c r="B81" s="326" t="s">
        <v>18</v>
      </c>
      <c r="C81" s="412" t="s">
        <v>172</v>
      </c>
      <c r="D81" s="412"/>
      <c r="E81" s="284"/>
      <c r="F81" s="284"/>
      <c r="G81" s="284"/>
      <c r="H81" s="331">
        <f>+H82+H83</f>
        <v>2500000</v>
      </c>
      <c r="I81" s="284"/>
      <c r="J81" s="331">
        <f>+J82+J83</f>
        <v>2530000</v>
      </c>
      <c r="K81" s="284"/>
      <c r="L81" s="331">
        <f>+L82+L83</f>
        <v>2500000</v>
      </c>
      <c r="M81" s="1"/>
      <c r="N81" s="1"/>
    </row>
    <row r="82" spans="2:14">
      <c r="B82" s="284" t="s">
        <v>8</v>
      </c>
      <c r="C82" s="332" t="s">
        <v>142</v>
      </c>
      <c r="D82" s="333" t="s">
        <v>315</v>
      </c>
      <c r="E82" s="284" t="s">
        <v>57</v>
      </c>
      <c r="F82" s="302">
        <f>+F70</f>
        <v>100000</v>
      </c>
      <c r="G82" s="269">
        <f>+G58</f>
        <v>25</v>
      </c>
      <c r="H82" s="294">
        <f>+G82*F82</f>
        <v>2500000</v>
      </c>
      <c r="I82" s="269">
        <f>+G82</f>
        <v>25</v>
      </c>
      <c r="J82" s="294">
        <f>+I82*F82</f>
        <v>2500000</v>
      </c>
      <c r="K82" s="269">
        <f>+I82</f>
        <v>25</v>
      </c>
      <c r="L82" s="294">
        <f>+K82*F82</f>
        <v>2500000</v>
      </c>
      <c r="M82" s="1"/>
      <c r="N82" s="1"/>
    </row>
    <row r="83" spans="2:14">
      <c r="B83" s="284"/>
      <c r="C83" s="330" t="s">
        <v>143</v>
      </c>
      <c r="D83" s="314" t="s">
        <v>173</v>
      </c>
      <c r="E83" s="284"/>
      <c r="F83" s="276"/>
      <c r="G83" s="284"/>
      <c r="H83" s="334">
        <f>SUM(H84:H84)</f>
        <v>0</v>
      </c>
      <c r="I83" s="284"/>
      <c r="J83" s="334">
        <f>SUM(J84:J84)</f>
        <v>30000</v>
      </c>
      <c r="K83" s="284"/>
      <c r="L83" s="334">
        <f>SUM(L84:L84)</f>
        <v>0</v>
      </c>
      <c r="M83" s="1"/>
      <c r="N83" s="1"/>
    </row>
    <row r="84" spans="2:14" ht="18" customHeight="1">
      <c r="B84" s="284"/>
      <c r="C84" s="177"/>
      <c r="D84" s="272" t="s">
        <v>314</v>
      </c>
      <c r="E84" s="284" t="s">
        <v>87</v>
      </c>
      <c r="F84" s="302">
        <v>30000</v>
      </c>
      <c r="G84" s="269">
        <v>0</v>
      </c>
      <c r="H84" s="294">
        <f t="shared" ref="H84:H97" si="9">+G84*F84</f>
        <v>0</v>
      </c>
      <c r="I84" s="269">
        <v>1</v>
      </c>
      <c r="J84" s="294">
        <f t="shared" ref="J84:J97" si="10">+I84*F84</f>
        <v>30000</v>
      </c>
      <c r="K84" s="269">
        <v>0</v>
      </c>
      <c r="L84" s="294">
        <f t="shared" ref="L84:L97" si="11">+K84*F84</f>
        <v>0</v>
      </c>
      <c r="M84" s="1"/>
      <c r="N84" s="1"/>
    </row>
    <row r="85" spans="2:14">
      <c r="B85" s="307" t="s">
        <v>21</v>
      </c>
      <c r="C85" s="424" t="s">
        <v>174</v>
      </c>
      <c r="D85" s="425"/>
      <c r="E85" s="284"/>
      <c r="F85" s="284"/>
      <c r="G85" s="284"/>
      <c r="H85" s="278">
        <f>+H86+H90+H93</f>
        <v>3974500</v>
      </c>
      <c r="I85" s="284"/>
      <c r="J85" s="278">
        <f>+J86+J90+J93</f>
        <v>3350500</v>
      </c>
      <c r="K85" s="284"/>
      <c r="L85" s="278">
        <f>+L86+L90+L93</f>
        <v>3600500</v>
      </c>
      <c r="M85" s="1"/>
      <c r="N85" s="1"/>
    </row>
    <row r="86" spans="2:14">
      <c r="B86" s="284"/>
      <c r="C86" s="304" t="s">
        <v>153</v>
      </c>
      <c r="D86" s="267" t="s">
        <v>175</v>
      </c>
      <c r="E86" s="284"/>
      <c r="F86" s="284"/>
      <c r="G86" s="284"/>
      <c r="H86" s="278">
        <f>SUM(H87:H89)</f>
        <v>1000000</v>
      </c>
      <c r="I86" s="284"/>
      <c r="J86" s="278">
        <f>SUM(J87:J89)</f>
        <v>750000</v>
      </c>
      <c r="K86" s="284"/>
      <c r="L86" s="278">
        <f>SUM(L87:L89)</f>
        <v>1000000</v>
      </c>
      <c r="M86" s="1"/>
      <c r="N86" s="1"/>
    </row>
    <row r="87" spans="2:14">
      <c r="B87" s="284"/>
      <c r="C87" s="280"/>
      <c r="D87" s="314" t="s">
        <v>146</v>
      </c>
      <c r="E87" s="284" t="s">
        <v>57</v>
      </c>
      <c r="F87" s="302">
        <f>+F82</f>
        <v>100000</v>
      </c>
      <c r="G87" s="269">
        <v>6</v>
      </c>
      <c r="H87" s="294">
        <f t="shared" si="9"/>
        <v>600000</v>
      </c>
      <c r="I87" s="269">
        <v>6</v>
      </c>
      <c r="J87" s="294">
        <f t="shared" si="10"/>
        <v>600000</v>
      </c>
      <c r="K87" s="269">
        <v>6</v>
      </c>
      <c r="L87" s="294">
        <f t="shared" si="11"/>
        <v>600000</v>
      </c>
      <c r="M87" s="1"/>
      <c r="N87" s="1"/>
    </row>
    <row r="88" spans="2:14">
      <c r="B88" s="284"/>
      <c r="C88" s="177"/>
      <c r="D88" s="267" t="s">
        <v>149</v>
      </c>
      <c r="E88" s="284" t="s">
        <v>145</v>
      </c>
      <c r="F88" s="309">
        <v>75000</v>
      </c>
      <c r="G88" s="269">
        <v>2</v>
      </c>
      <c r="H88" s="294">
        <f t="shared" si="9"/>
        <v>150000</v>
      </c>
      <c r="I88" s="269">
        <v>2</v>
      </c>
      <c r="J88" s="294">
        <f t="shared" si="10"/>
        <v>150000</v>
      </c>
      <c r="K88" s="269">
        <v>2</v>
      </c>
      <c r="L88" s="294">
        <f t="shared" si="11"/>
        <v>150000</v>
      </c>
      <c r="M88" s="1"/>
      <c r="N88" s="1"/>
    </row>
    <row r="89" spans="2:14" ht="15.75" customHeight="1">
      <c r="B89" s="284"/>
      <c r="C89" s="280" t="s">
        <v>8</v>
      </c>
      <c r="D89" s="314" t="s">
        <v>176</v>
      </c>
      <c r="E89" s="284" t="s">
        <v>87</v>
      </c>
      <c r="F89" s="302">
        <v>250000</v>
      </c>
      <c r="G89" s="269">
        <v>1</v>
      </c>
      <c r="H89" s="294">
        <f t="shared" si="9"/>
        <v>250000</v>
      </c>
      <c r="I89" s="269">
        <v>0</v>
      </c>
      <c r="J89" s="294">
        <f t="shared" si="10"/>
        <v>0</v>
      </c>
      <c r="K89" s="269">
        <v>1</v>
      </c>
      <c r="L89" s="294">
        <f t="shared" si="11"/>
        <v>250000</v>
      </c>
      <c r="M89" s="1"/>
      <c r="N89" s="1"/>
    </row>
    <row r="90" spans="2:14">
      <c r="B90" s="284"/>
      <c r="C90" s="312" t="s">
        <v>154</v>
      </c>
      <c r="D90" s="267" t="s">
        <v>177</v>
      </c>
      <c r="E90" s="284"/>
      <c r="F90" s="276"/>
      <c r="G90" s="284"/>
      <c r="H90" s="278">
        <f>+H91+H92</f>
        <v>400000</v>
      </c>
      <c r="I90" s="284"/>
      <c r="J90" s="278">
        <f>+J91+J92</f>
        <v>400000</v>
      </c>
      <c r="K90" s="284"/>
      <c r="L90" s="278">
        <f>+L91+L92</f>
        <v>400000</v>
      </c>
      <c r="M90" s="1"/>
      <c r="N90" s="1"/>
    </row>
    <row r="91" spans="2:14">
      <c r="B91" s="284"/>
      <c r="C91" s="280"/>
      <c r="D91" s="314" t="s">
        <v>56</v>
      </c>
      <c r="E91" s="284" t="s">
        <v>57</v>
      </c>
      <c r="F91" s="302">
        <f>+F87</f>
        <v>100000</v>
      </c>
      <c r="G91" s="269">
        <v>3</v>
      </c>
      <c r="H91" s="294">
        <f t="shared" si="9"/>
        <v>300000</v>
      </c>
      <c r="I91" s="269">
        <v>3</v>
      </c>
      <c r="J91" s="294">
        <f t="shared" si="10"/>
        <v>300000</v>
      </c>
      <c r="K91" s="269">
        <v>3</v>
      </c>
      <c r="L91" s="294">
        <f t="shared" si="11"/>
        <v>300000</v>
      </c>
      <c r="M91" s="1"/>
      <c r="N91" s="1"/>
    </row>
    <row r="92" spans="2:14" ht="17.25" customHeight="1">
      <c r="B92" s="284"/>
      <c r="C92" s="177" t="s">
        <v>8</v>
      </c>
      <c r="D92" s="267" t="s">
        <v>178</v>
      </c>
      <c r="E92" s="284" t="s">
        <v>55</v>
      </c>
      <c r="F92" s="313">
        <v>50000</v>
      </c>
      <c r="G92" s="269">
        <v>2</v>
      </c>
      <c r="H92" s="294">
        <f t="shared" si="9"/>
        <v>100000</v>
      </c>
      <c r="I92" s="269">
        <v>2</v>
      </c>
      <c r="J92" s="294">
        <f t="shared" si="10"/>
        <v>100000</v>
      </c>
      <c r="K92" s="269">
        <v>2</v>
      </c>
      <c r="L92" s="294">
        <f t="shared" si="11"/>
        <v>100000</v>
      </c>
      <c r="M92" s="1"/>
      <c r="N92" s="1"/>
    </row>
    <row r="93" spans="2:14">
      <c r="B93" s="284"/>
      <c r="C93" s="330" t="s">
        <v>179</v>
      </c>
      <c r="D93" s="314" t="s">
        <v>156</v>
      </c>
      <c r="E93" s="284"/>
      <c r="F93" s="308"/>
      <c r="G93" s="284"/>
      <c r="H93" s="278">
        <f>SUM(H94:H97)</f>
        <v>2574500</v>
      </c>
      <c r="I93" s="284"/>
      <c r="J93" s="278">
        <f>SUM(J94:J97)</f>
        <v>2200500</v>
      </c>
      <c r="K93" s="284"/>
      <c r="L93" s="278">
        <f>SUM(L94:L97)</f>
        <v>2200500</v>
      </c>
      <c r="M93" s="1"/>
      <c r="N93" s="1"/>
    </row>
    <row r="94" spans="2:14">
      <c r="B94" s="315"/>
      <c r="C94" s="177"/>
      <c r="D94" s="267" t="s">
        <v>56</v>
      </c>
      <c r="E94" s="284" t="s">
        <v>57</v>
      </c>
      <c r="F94" s="313">
        <f>+F91</f>
        <v>100000</v>
      </c>
      <c r="G94" s="269">
        <v>6</v>
      </c>
      <c r="H94" s="294">
        <f t="shared" si="9"/>
        <v>600000</v>
      </c>
      <c r="I94" s="269">
        <v>6</v>
      </c>
      <c r="J94" s="294">
        <f t="shared" si="10"/>
        <v>600000</v>
      </c>
      <c r="K94" s="269">
        <v>6</v>
      </c>
      <c r="L94" s="294">
        <f t="shared" si="11"/>
        <v>600000</v>
      </c>
      <c r="M94" s="1"/>
      <c r="N94" s="1"/>
    </row>
    <row r="95" spans="2:14">
      <c r="B95" s="315"/>
      <c r="C95" s="280"/>
      <c r="D95" s="314" t="s">
        <v>157</v>
      </c>
      <c r="E95" s="284" t="s">
        <v>84</v>
      </c>
      <c r="F95" s="316">
        <v>3000</v>
      </c>
      <c r="G95" s="269">
        <v>192.5</v>
      </c>
      <c r="H95" s="294">
        <f t="shared" si="9"/>
        <v>577500</v>
      </c>
      <c r="I95" s="269">
        <v>165</v>
      </c>
      <c r="J95" s="294">
        <f t="shared" si="10"/>
        <v>495000</v>
      </c>
      <c r="K95" s="269">
        <v>165</v>
      </c>
      <c r="L95" s="294">
        <f t="shared" si="11"/>
        <v>495000</v>
      </c>
      <c r="M95" s="1"/>
      <c r="N95" s="1"/>
    </row>
    <row r="96" spans="2:14">
      <c r="B96" s="284"/>
      <c r="C96" s="177"/>
      <c r="D96" s="267" t="s">
        <v>159</v>
      </c>
      <c r="E96" s="284" t="s">
        <v>84</v>
      </c>
      <c r="F96" s="309">
        <v>4000</v>
      </c>
      <c r="G96" s="269">
        <v>143</v>
      </c>
      <c r="H96" s="294">
        <f t="shared" si="9"/>
        <v>572000</v>
      </c>
      <c r="I96" s="269">
        <v>104.5</v>
      </c>
      <c r="J96" s="294">
        <f t="shared" si="10"/>
        <v>418000</v>
      </c>
      <c r="K96" s="269">
        <v>104.5</v>
      </c>
      <c r="L96" s="294">
        <f t="shared" si="11"/>
        <v>418000</v>
      </c>
      <c r="M96" s="1"/>
      <c r="N96" s="1"/>
    </row>
    <row r="97" spans="2:14">
      <c r="B97" s="315"/>
      <c r="C97" s="280"/>
      <c r="D97" s="314" t="s">
        <v>180</v>
      </c>
      <c r="E97" s="284" t="s">
        <v>84</v>
      </c>
      <c r="F97" s="316">
        <v>5000</v>
      </c>
      <c r="G97" s="269">
        <v>165</v>
      </c>
      <c r="H97" s="294">
        <f t="shared" si="9"/>
        <v>825000</v>
      </c>
      <c r="I97" s="269">
        <v>137.5</v>
      </c>
      <c r="J97" s="294">
        <f t="shared" si="10"/>
        <v>687500</v>
      </c>
      <c r="K97" s="269">
        <v>137.5</v>
      </c>
      <c r="L97" s="294">
        <f t="shared" si="11"/>
        <v>687500</v>
      </c>
      <c r="M97" s="1"/>
      <c r="N97" s="1"/>
    </row>
    <row r="98" spans="2:14">
      <c r="B98" s="315"/>
      <c r="C98" s="403" t="s">
        <v>6</v>
      </c>
      <c r="D98" s="426"/>
      <c r="E98" s="284"/>
      <c r="F98" s="284"/>
      <c r="G98" s="284"/>
      <c r="H98" s="278">
        <f>+H93+H90+H86+H81</f>
        <v>6474500</v>
      </c>
      <c r="I98" s="284"/>
      <c r="J98" s="278">
        <f>+J93+J90+J86+J81</f>
        <v>5880500</v>
      </c>
      <c r="K98" s="284"/>
      <c r="L98" s="278">
        <f>+L93+L90+L86+L81</f>
        <v>6100500</v>
      </c>
      <c r="M98" s="1"/>
      <c r="N98" s="1"/>
    </row>
    <row r="99" spans="2:1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>
      <c r="B101" s="430" t="s">
        <v>267</v>
      </c>
      <c r="C101" s="430"/>
      <c r="D101" s="430"/>
      <c r="E101" s="430"/>
      <c r="F101" s="430"/>
      <c r="G101" s="430"/>
      <c r="H101" s="430"/>
      <c r="I101" s="430"/>
      <c r="J101" s="430"/>
      <c r="K101" s="430"/>
      <c r="L101" s="430"/>
      <c r="M101" s="1"/>
      <c r="N101" s="1"/>
    </row>
    <row r="102" spans="2:1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>
      <c r="B103" s="427" t="s">
        <v>3</v>
      </c>
      <c r="C103" s="152"/>
      <c r="D103" s="428" t="s">
        <v>114</v>
      </c>
      <c r="E103" s="406" t="s">
        <v>4</v>
      </c>
      <c r="F103" s="163" t="s">
        <v>115</v>
      </c>
      <c r="G103" s="413" t="s">
        <v>190</v>
      </c>
      <c r="H103" s="413"/>
      <c r="I103" s="413" t="s">
        <v>191</v>
      </c>
      <c r="J103" s="413"/>
      <c r="K103" s="413" t="s">
        <v>192</v>
      </c>
      <c r="L103" s="413"/>
      <c r="M103" s="1"/>
      <c r="N103" s="1"/>
    </row>
    <row r="104" spans="2:14">
      <c r="B104" s="427"/>
      <c r="C104" s="153"/>
      <c r="D104" s="429"/>
      <c r="E104" s="407"/>
      <c r="F104" s="246" t="s">
        <v>288</v>
      </c>
      <c r="G104" s="250" t="s">
        <v>118</v>
      </c>
      <c r="H104" s="250" t="s">
        <v>119</v>
      </c>
      <c r="I104" s="250" t="s">
        <v>118</v>
      </c>
      <c r="J104" s="250" t="s">
        <v>119</v>
      </c>
      <c r="K104" s="250" t="s">
        <v>118</v>
      </c>
      <c r="L104" s="250" t="s">
        <v>119</v>
      </c>
      <c r="M104" s="1"/>
      <c r="N104" s="1"/>
    </row>
    <row r="105" spans="2:14">
      <c r="B105" s="326" t="s">
        <v>18</v>
      </c>
      <c r="C105" s="412" t="s">
        <v>172</v>
      </c>
      <c r="D105" s="412"/>
      <c r="E105" s="284"/>
      <c r="F105" s="284"/>
      <c r="G105" s="284"/>
      <c r="H105" s="331">
        <f>+H106+H107</f>
        <v>2530000</v>
      </c>
      <c r="I105" s="284"/>
      <c r="J105" s="331">
        <f>+J106+J107</f>
        <v>2500000</v>
      </c>
      <c r="K105" s="284"/>
      <c r="L105" s="331">
        <f>+L106+L107</f>
        <v>2530000</v>
      </c>
      <c r="M105" s="1"/>
      <c r="N105" s="1"/>
    </row>
    <row r="106" spans="2:14">
      <c r="B106" s="284" t="s">
        <v>8</v>
      </c>
      <c r="C106" s="330" t="s">
        <v>142</v>
      </c>
      <c r="D106" s="333" t="s">
        <v>315</v>
      </c>
      <c r="E106" s="284" t="s">
        <v>57</v>
      </c>
      <c r="F106" s="302">
        <f>+F94</f>
        <v>100000</v>
      </c>
      <c r="G106" s="269">
        <f>+G82</f>
        <v>25</v>
      </c>
      <c r="H106" s="294">
        <f>+G106*F106</f>
        <v>2500000</v>
      </c>
      <c r="I106" s="269">
        <f>+G106</f>
        <v>25</v>
      </c>
      <c r="J106" s="294">
        <f>+I106*F106</f>
        <v>2500000</v>
      </c>
      <c r="K106" s="269">
        <f>+I106</f>
        <v>25</v>
      </c>
      <c r="L106" s="294">
        <f>+K106*F106</f>
        <v>2500000</v>
      </c>
      <c r="M106" s="1"/>
      <c r="N106" s="1"/>
    </row>
    <row r="107" spans="2:14">
      <c r="B107" s="284"/>
      <c r="C107" s="304" t="s">
        <v>143</v>
      </c>
      <c r="D107" s="314" t="s">
        <v>173</v>
      </c>
      <c r="E107" s="284"/>
      <c r="F107" s="276"/>
      <c r="G107" s="284"/>
      <c r="H107" s="334">
        <f>SUM(H108:H108)</f>
        <v>30000</v>
      </c>
      <c r="I107" s="284"/>
      <c r="J107" s="334">
        <f>SUM(J108:J108)</f>
        <v>0</v>
      </c>
      <c r="K107" s="284"/>
      <c r="L107" s="334">
        <f>SUM(L108:L108)</f>
        <v>30000</v>
      </c>
      <c r="M107" s="1"/>
      <c r="N107" s="1"/>
    </row>
    <row r="108" spans="2:14" ht="16.5" customHeight="1">
      <c r="B108" s="284"/>
      <c r="C108" s="280"/>
      <c r="D108" s="281" t="s">
        <v>314</v>
      </c>
      <c r="E108" s="284" t="s">
        <v>87</v>
      </c>
      <c r="F108" s="302">
        <v>30000</v>
      </c>
      <c r="G108" s="269">
        <v>1</v>
      </c>
      <c r="H108" s="294">
        <f t="shared" ref="H108:H121" si="12">+G108*F108</f>
        <v>30000</v>
      </c>
      <c r="I108" s="269">
        <v>0</v>
      </c>
      <c r="J108" s="294">
        <f t="shared" ref="J108:J121" si="13">+I108*F108</f>
        <v>0</v>
      </c>
      <c r="K108" s="269">
        <v>1</v>
      </c>
      <c r="L108" s="294">
        <f t="shared" ref="L108:L121" si="14">+K108*F108</f>
        <v>30000</v>
      </c>
      <c r="M108" s="1"/>
      <c r="N108" s="1"/>
    </row>
    <row r="109" spans="2:14">
      <c r="B109" s="307" t="s">
        <v>21</v>
      </c>
      <c r="C109" s="424" t="s">
        <v>174</v>
      </c>
      <c r="D109" s="425"/>
      <c r="E109" s="284"/>
      <c r="F109" s="284"/>
      <c r="G109" s="284"/>
      <c r="H109" s="278">
        <f>+H110+H114+H117</f>
        <v>3350500</v>
      </c>
      <c r="I109" s="284"/>
      <c r="J109" s="278">
        <f>+J110+J114+J117</f>
        <v>3600500</v>
      </c>
      <c r="K109" s="284"/>
      <c r="L109" s="278">
        <f>+L110+L114+L117</f>
        <v>3350500</v>
      </c>
      <c r="M109" s="1"/>
      <c r="N109" s="1"/>
    </row>
    <row r="110" spans="2:14">
      <c r="B110" s="284"/>
      <c r="C110" s="304" t="s">
        <v>153</v>
      </c>
      <c r="D110" s="267" t="s">
        <v>175</v>
      </c>
      <c r="E110" s="284"/>
      <c r="F110" s="284"/>
      <c r="G110" s="284"/>
      <c r="H110" s="278">
        <f>SUM(H111:H113)</f>
        <v>750000</v>
      </c>
      <c r="I110" s="284"/>
      <c r="J110" s="278">
        <f>SUM(J111:J113)</f>
        <v>1000000</v>
      </c>
      <c r="K110" s="284"/>
      <c r="L110" s="278">
        <f>SUM(L111:L113)</f>
        <v>750000</v>
      </c>
      <c r="M110" s="1"/>
      <c r="N110" s="1"/>
    </row>
    <row r="111" spans="2:14">
      <c r="B111" s="284"/>
      <c r="C111" s="280"/>
      <c r="D111" s="314" t="s">
        <v>146</v>
      </c>
      <c r="E111" s="284" t="s">
        <v>57</v>
      </c>
      <c r="F111" s="302">
        <f>+F106</f>
        <v>100000</v>
      </c>
      <c r="G111" s="269">
        <v>6</v>
      </c>
      <c r="H111" s="294">
        <f t="shared" si="12"/>
        <v>600000</v>
      </c>
      <c r="I111" s="269">
        <v>6</v>
      </c>
      <c r="J111" s="294">
        <f t="shared" si="13"/>
        <v>600000</v>
      </c>
      <c r="K111" s="269">
        <v>6</v>
      </c>
      <c r="L111" s="294">
        <f t="shared" si="14"/>
        <v>600000</v>
      </c>
      <c r="M111" s="1"/>
      <c r="N111" s="1"/>
    </row>
    <row r="112" spans="2:14">
      <c r="B112" s="284"/>
      <c r="C112" s="177"/>
      <c r="D112" s="267" t="s">
        <v>149</v>
      </c>
      <c r="E112" s="284" t="s">
        <v>145</v>
      </c>
      <c r="F112" s="309">
        <v>75000</v>
      </c>
      <c r="G112" s="269">
        <v>2</v>
      </c>
      <c r="H112" s="294">
        <f t="shared" si="12"/>
        <v>150000</v>
      </c>
      <c r="I112" s="269">
        <v>2</v>
      </c>
      <c r="J112" s="294">
        <f t="shared" si="13"/>
        <v>150000</v>
      </c>
      <c r="K112" s="269">
        <v>2</v>
      </c>
      <c r="L112" s="294">
        <f t="shared" si="14"/>
        <v>150000</v>
      </c>
      <c r="M112" s="1"/>
      <c r="N112" s="1"/>
    </row>
    <row r="113" spans="2:14" ht="16.5" customHeight="1">
      <c r="B113" s="284"/>
      <c r="C113" s="280" t="s">
        <v>8</v>
      </c>
      <c r="D113" s="314" t="s">
        <v>176</v>
      </c>
      <c r="E113" s="284" t="s">
        <v>87</v>
      </c>
      <c r="F113" s="302">
        <v>250000</v>
      </c>
      <c r="G113" s="269">
        <v>0</v>
      </c>
      <c r="H113" s="294">
        <f t="shared" si="12"/>
        <v>0</v>
      </c>
      <c r="I113" s="269">
        <v>1</v>
      </c>
      <c r="J113" s="294">
        <f t="shared" si="13"/>
        <v>250000</v>
      </c>
      <c r="K113" s="269">
        <v>0</v>
      </c>
      <c r="L113" s="294">
        <f t="shared" si="14"/>
        <v>0</v>
      </c>
      <c r="M113" s="1"/>
      <c r="N113" s="1"/>
    </row>
    <row r="114" spans="2:14">
      <c r="B114" s="284"/>
      <c r="C114" s="312" t="s">
        <v>154</v>
      </c>
      <c r="D114" s="267" t="s">
        <v>177</v>
      </c>
      <c r="E114" s="284"/>
      <c r="F114" s="276"/>
      <c r="G114" s="284"/>
      <c r="H114" s="278">
        <f>+H115+H116</f>
        <v>400000</v>
      </c>
      <c r="I114" s="284"/>
      <c r="J114" s="278">
        <f>+J115+J116</f>
        <v>400000</v>
      </c>
      <c r="K114" s="284"/>
      <c r="L114" s="278">
        <f>+L115+L116</f>
        <v>400000</v>
      </c>
      <c r="M114" s="1"/>
      <c r="N114" s="1"/>
    </row>
    <row r="115" spans="2:14">
      <c r="B115" s="284"/>
      <c r="C115" s="280"/>
      <c r="D115" s="314" t="s">
        <v>56</v>
      </c>
      <c r="E115" s="284" t="s">
        <v>57</v>
      </c>
      <c r="F115" s="302">
        <f>+F111</f>
        <v>100000</v>
      </c>
      <c r="G115" s="269">
        <v>3</v>
      </c>
      <c r="H115" s="294">
        <f t="shared" si="12"/>
        <v>300000</v>
      </c>
      <c r="I115" s="269">
        <v>3</v>
      </c>
      <c r="J115" s="294">
        <f t="shared" si="13"/>
        <v>300000</v>
      </c>
      <c r="K115" s="269">
        <v>3</v>
      </c>
      <c r="L115" s="294">
        <f t="shared" si="14"/>
        <v>300000</v>
      </c>
      <c r="M115" s="1"/>
      <c r="N115" s="1"/>
    </row>
    <row r="116" spans="2:14" ht="16.5" customHeight="1">
      <c r="B116" s="284"/>
      <c r="C116" s="177" t="s">
        <v>8</v>
      </c>
      <c r="D116" s="267" t="s">
        <v>178</v>
      </c>
      <c r="E116" s="284" t="s">
        <v>55</v>
      </c>
      <c r="F116" s="313">
        <v>50000</v>
      </c>
      <c r="G116" s="269">
        <v>2</v>
      </c>
      <c r="H116" s="294">
        <f t="shared" si="12"/>
        <v>100000</v>
      </c>
      <c r="I116" s="269">
        <v>2</v>
      </c>
      <c r="J116" s="294">
        <f t="shared" si="13"/>
        <v>100000</v>
      </c>
      <c r="K116" s="269">
        <v>2</v>
      </c>
      <c r="L116" s="294">
        <f t="shared" si="14"/>
        <v>100000</v>
      </c>
      <c r="M116" s="1"/>
      <c r="N116" s="1"/>
    </row>
    <row r="117" spans="2:14">
      <c r="B117" s="284"/>
      <c r="C117" s="330" t="s">
        <v>179</v>
      </c>
      <c r="D117" s="314" t="s">
        <v>156</v>
      </c>
      <c r="E117" s="284"/>
      <c r="F117" s="308"/>
      <c r="G117" s="284"/>
      <c r="H117" s="278">
        <f>SUM(H118:H121)</f>
        <v>2200500</v>
      </c>
      <c r="I117" s="284"/>
      <c r="J117" s="278">
        <f>SUM(J118:J121)</f>
        <v>2200500</v>
      </c>
      <c r="K117" s="284"/>
      <c r="L117" s="278">
        <f>SUM(L118:L121)</f>
        <v>2200500</v>
      </c>
      <c r="M117" s="1"/>
      <c r="N117" s="1"/>
    </row>
    <row r="118" spans="2:14">
      <c r="B118" s="315"/>
      <c r="C118" s="177"/>
      <c r="D118" s="267" t="s">
        <v>56</v>
      </c>
      <c r="E118" s="284" t="s">
        <v>57</v>
      </c>
      <c r="F118" s="313">
        <f>+F115</f>
        <v>100000</v>
      </c>
      <c r="G118" s="269">
        <v>6</v>
      </c>
      <c r="H118" s="294">
        <f t="shared" si="12"/>
        <v>600000</v>
      </c>
      <c r="I118" s="269">
        <v>6</v>
      </c>
      <c r="J118" s="294">
        <f t="shared" si="13"/>
        <v>600000</v>
      </c>
      <c r="K118" s="269">
        <v>6</v>
      </c>
      <c r="L118" s="294">
        <f t="shared" si="14"/>
        <v>600000</v>
      </c>
      <c r="M118" s="1"/>
      <c r="N118" s="1"/>
    </row>
    <row r="119" spans="2:14">
      <c r="B119" s="315"/>
      <c r="C119" s="280"/>
      <c r="D119" s="314" t="s">
        <v>157</v>
      </c>
      <c r="E119" s="284" t="s">
        <v>84</v>
      </c>
      <c r="F119" s="316">
        <v>3000</v>
      </c>
      <c r="G119" s="269">
        <v>165</v>
      </c>
      <c r="H119" s="294">
        <f t="shared" si="12"/>
        <v>495000</v>
      </c>
      <c r="I119" s="269">
        <v>165</v>
      </c>
      <c r="J119" s="294">
        <f t="shared" si="13"/>
        <v>495000</v>
      </c>
      <c r="K119" s="269">
        <v>165</v>
      </c>
      <c r="L119" s="294">
        <f t="shared" si="14"/>
        <v>495000</v>
      </c>
      <c r="M119" s="1"/>
      <c r="N119" s="1"/>
    </row>
    <row r="120" spans="2:14">
      <c r="B120" s="284"/>
      <c r="C120" s="177"/>
      <c r="D120" s="267" t="s">
        <v>159</v>
      </c>
      <c r="E120" s="284" t="s">
        <v>84</v>
      </c>
      <c r="F120" s="309">
        <v>4000</v>
      </c>
      <c r="G120" s="269">
        <v>104.5</v>
      </c>
      <c r="H120" s="294">
        <f t="shared" si="12"/>
        <v>418000</v>
      </c>
      <c r="I120" s="269">
        <v>104.5</v>
      </c>
      <c r="J120" s="294">
        <f t="shared" si="13"/>
        <v>418000</v>
      </c>
      <c r="K120" s="269">
        <v>104.5</v>
      </c>
      <c r="L120" s="294">
        <f t="shared" si="14"/>
        <v>418000</v>
      </c>
      <c r="M120" s="1"/>
      <c r="N120" s="1"/>
    </row>
    <row r="121" spans="2:14">
      <c r="B121" s="315"/>
      <c r="C121" s="280"/>
      <c r="D121" s="314" t="s">
        <v>180</v>
      </c>
      <c r="E121" s="284" t="s">
        <v>84</v>
      </c>
      <c r="F121" s="316">
        <v>5000</v>
      </c>
      <c r="G121" s="269">
        <v>137.5</v>
      </c>
      <c r="H121" s="294">
        <f t="shared" si="12"/>
        <v>687500</v>
      </c>
      <c r="I121" s="269">
        <v>137.5</v>
      </c>
      <c r="J121" s="294">
        <f t="shared" si="13"/>
        <v>687500</v>
      </c>
      <c r="K121" s="269">
        <v>137.5</v>
      </c>
      <c r="L121" s="294">
        <f t="shared" si="14"/>
        <v>687500</v>
      </c>
      <c r="M121" s="1"/>
      <c r="N121" s="1"/>
    </row>
    <row r="122" spans="2:14">
      <c r="B122" s="315"/>
      <c r="C122" s="403" t="s">
        <v>6</v>
      </c>
      <c r="D122" s="426"/>
      <c r="E122" s="284"/>
      <c r="F122" s="284"/>
      <c r="G122" s="284"/>
      <c r="H122" s="278">
        <f>+H117+H114+H110+H105</f>
        <v>5880500</v>
      </c>
      <c r="I122" s="284"/>
      <c r="J122" s="278">
        <f>+J117+J114+J110+J105</f>
        <v>6100500</v>
      </c>
      <c r="K122" s="284"/>
      <c r="L122" s="278">
        <f>+L117+L114+L110+L105</f>
        <v>5880500</v>
      </c>
      <c r="M122" s="1"/>
      <c r="N122" s="1"/>
    </row>
    <row r="123" spans="2:1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>
      <c r="B125" s="430" t="s">
        <v>312</v>
      </c>
      <c r="C125" s="430"/>
      <c r="D125" s="430"/>
      <c r="E125" s="430"/>
      <c r="F125" s="430"/>
      <c r="G125" s="430"/>
      <c r="H125" s="430"/>
      <c r="I125" s="430"/>
      <c r="J125" s="430"/>
      <c r="K125" s="430"/>
      <c r="L125" s="430"/>
      <c r="M125" s="1"/>
      <c r="N125" s="1"/>
    </row>
    <row r="126" spans="2:1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>
      <c r="B127" s="427" t="s">
        <v>3</v>
      </c>
      <c r="C127" s="152"/>
      <c r="D127" s="428" t="s">
        <v>114</v>
      </c>
      <c r="E127" s="406" t="s">
        <v>4</v>
      </c>
      <c r="F127" s="163" t="s">
        <v>115</v>
      </c>
      <c r="G127" s="413" t="s">
        <v>193</v>
      </c>
      <c r="H127" s="413"/>
      <c r="I127" s="413" t="s">
        <v>194</v>
      </c>
      <c r="J127" s="413"/>
      <c r="K127" s="422" t="s">
        <v>8</v>
      </c>
      <c r="L127" s="423"/>
      <c r="M127" s="1"/>
      <c r="N127" s="1"/>
    </row>
    <row r="128" spans="2:14">
      <c r="B128" s="427"/>
      <c r="C128" s="153"/>
      <c r="D128" s="429"/>
      <c r="E128" s="407"/>
      <c r="F128" s="246" t="s">
        <v>288</v>
      </c>
      <c r="G128" s="250" t="s">
        <v>118</v>
      </c>
      <c r="H128" s="250" t="s">
        <v>119</v>
      </c>
      <c r="I128" s="250" t="s">
        <v>118</v>
      </c>
      <c r="J128" s="250" t="s">
        <v>119</v>
      </c>
      <c r="K128" s="289" t="s">
        <v>8</v>
      </c>
      <c r="L128" s="290" t="s">
        <v>8</v>
      </c>
      <c r="M128" s="1"/>
      <c r="N128" s="1"/>
    </row>
    <row r="129" spans="2:14">
      <c r="B129" s="326" t="s">
        <v>18</v>
      </c>
      <c r="C129" s="412" t="s">
        <v>172</v>
      </c>
      <c r="D129" s="412"/>
      <c r="E129" s="284"/>
      <c r="F129" s="284"/>
      <c r="G129" s="284"/>
      <c r="H129" s="331">
        <f>+H130+H131</f>
        <v>2500000</v>
      </c>
      <c r="I129" s="284"/>
      <c r="J129" s="331">
        <f>+J130+J131</f>
        <v>2530000</v>
      </c>
      <c r="K129" s="291"/>
      <c r="L129" s="292" t="s">
        <v>8</v>
      </c>
      <c r="M129" s="1"/>
      <c r="N129" s="1"/>
    </row>
    <row r="130" spans="2:14">
      <c r="B130" s="284" t="s">
        <v>8</v>
      </c>
      <c r="C130" s="330" t="s">
        <v>142</v>
      </c>
      <c r="D130" s="333" t="s">
        <v>315</v>
      </c>
      <c r="E130" s="284" t="s">
        <v>57</v>
      </c>
      <c r="F130" s="302">
        <f>+F118</f>
        <v>100000</v>
      </c>
      <c r="G130" s="269">
        <f>+G106</f>
        <v>25</v>
      </c>
      <c r="H130" s="294">
        <f>+G130*F130</f>
        <v>2500000</v>
      </c>
      <c r="I130" s="269">
        <f>+G130</f>
        <v>25</v>
      </c>
      <c r="J130" s="294">
        <f>+I130*F130</f>
        <v>2500000</v>
      </c>
      <c r="K130" s="285"/>
      <c r="L130" s="286" t="s">
        <v>8</v>
      </c>
      <c r="M130" s="1"/>
      <c r="N130" s="1"/>
    </row>
    <row r="131" spans="2:14">
      <c r="B131" s="284"/>
      <c r="C131" s="304" t="s">
        <v>143</v>
      </c>
      <c r="D131" s="314" t="s">
        <v>173</v>
      </c>
      <c r="E131" s="284"/>
      <c r="F131" s="276"/>
      <c r="G131" s="284"/>
      <c r="H131" s="334">
        <f>SUM(H132:H132)</f>
        <v>0</v>
      </c>
      <c r="I131" s="284"/>
      <c r="J131" s="334">
        <f>SUM(J132:J132)</f>
        <v>30000</v>
      </c>
      <c r="K131" s="287"/>
      <c r="L131" s="288" t="s">
        <v>8</v>
      </c>
      <c r="M131" s="1"/>
      <c r="N131" s="1"/>
    </row>
    <row r="132" spans="2:14" ht="14.25" customHeight="1">
      <c r="B132" s="284"/>
      <c r="C132" s="280"/>
      <c r="D132" s="281" t="s">
        <v>314</v>
      </c>
      <c r="E132" s="284" t="s">
        <v>87</v>
      </c>
      <c r="F132" s="302">
        <v>30000</v>
      </c>
      <c r="G132" s="269">
        <v>0</v>
      </c>
      <c r="H132" s="294">
        <f t="shared" ref="H132:H145" si="15">+G132*F132</f>
        <v>0</v>
      </c>
      <c r="I132" s="269">
        <v>1</v>
      </c>
      <c r="J132" s="294">
        <f t="shared" ref="J132:J145" si="16">+I132*F132</f>
        <v>30000</v>
      </c>
      <c r="K132" s="285"/>
      <c r="L132" s="286" t="s">
        <v>8</v>
      </c>
      <c r="M132" s="1"/>
      <c r="N132" s="1"/>
    </row>
    <row r="133" spans="2:14">
      <c r="B133" s="307" t="s">
        <v>21</v>
      </c>
      <c r="C133" s="424" t="s">
        <v>174</v>
      </c>
      <c r="D133" s="425"/>
      <c r="E133" s="284"/>
      <c r="F133" s="284"/>
      <c r="G133" s="284"/>
      <c r="H133" s="278">
        <f>+H134+H138+H141</f>
        <v>3600500</v>
      </c>
      <c r="I133" s="284"/>
      <c r="J133" s="278">
        <f>+J134+J138+J141</f>
        <v>3350500</v>
      </c>
      <c r="K133" s="291"/>
      <c r="L133" s="293" t="s">
        <v>8</v>
      </c>
      <c r="M133" s="1"/>
      <c r="N133" s="1"/>
    </row>
    <row r="134" spans="2:14">
      <c r="B134" s="284"/>
      <c r="C134" s="304" t="s">
        <v>153</v>
      </c>
      <c r="D134" s="267" t="s">
        <v>175</v>
      </c>
      <c r="E134" s="284"/>
      <c r="F134" s="284"/>
      <c r="G134" s="284"/>
      <c r="H134" s="278">
        <f>SUM(H135:H137)</f>
        <v>1000000</v>
      </c>
      <c r="I134" s="284"/>
      <c r="J134" s="278">
        <f>SUM(J135:J137)</f>
        <v>750000</v>
      </c>
      <c r="K134" s="291"/>
      <c r="L134" s="293" t="s">
        <v>8</v>
      </c>
      <c r="M134" s="1"/>
      <c r="N134" s="1"/>
    </row>
    <row r="135" spans="2:14">
      <c r="B135" s="284"/>
      <c r="C135" s="280"/>
      <c r="D135" s="314" t="s">
        <v>146</v>
      </c>
      <c r="E135" s="284" t="s">
        <v>57</v>
      </c>
      <c r="F135" s="302">
        <f>+F130</f>
        <v>100000</v>
      </c>
      <c r="G135" s="269">
        <v>6</v>
      </c>
      <c r="H135" s="294">
        <f t="shared" si="15"/>
        <v>600000</v>
      </c>
      <c r="I135" s="269">
        <v>6</v>
      </c>
      <c r="J135" s="294">
        <f t="shared" si="16"/>
        <v>600000</v>
      </c>
      <c r="K135" s="285"/>
      <c r="L135" s="286" t="s">
        <v>8</v>
      </c>
      <c r="M135" s="1"/>
      <c r="N135" s="1"/>
    </row>
    <row r="136" spans="2:14">
      <c r="B136" s="284"/>
      <c r="C136" s="177"/>
      <c r="D136" s="267" t="s">
        <v>149</v>
      </c>
      <c r="E136" s="284" t="s">
        <v>145</v>
      </c>
      <c r="F136" s="309">
        <v>75000</v>
      </c>
      <c r="G136" s="269">
        <v>2</v>
      </c>
      <c r="H136" s="294">
        <f t="shared" si="15"/>
        <v>150000</v>
      </c>
      <c r="I136" s="269">
        <v>2</v>
      </c>
      <c r="J136" s="294">
        <f t="shared" si="16"/>
        <v>150000</v>
      </c>
      <c r="K136" s="285"/>
      <c r="L136" s="286" t="s">
        <v>8</v>
      </c>
      <c r="M136" s="1"/>
      <c r="N136" s="1"/>
    </row>
    <row r="137" spans="2:14" ht="15.75" customHeight="1">
      <c r="B137" s="284"/>
      <c r="C137" s="280" t="s">
        <v>8</v>
      </c>
      <c r="D137" s="314" t="s">
        <v>176</v>
      </c>
      <c r="E137" s="284" t="s">
        <v>87</v>
      </c>
      <c r="F137" s="302">
        <v>250000</v>
      </c>
      <c r="G137" s="269">
        <v>1</v>
      </c>
      <c r="H137" s="294">
        <f t="shared" si="15"/>
        <v>250000</v>
      </c>
      <c r="I137" s="269">
        <v>0</v>
      </c>
      <c r="J137" s="294">
        <f t="shared" si="16"/>
        <v>0</v>
      </c>
      <c r="K137" s="285"/>
      <c r="L137" s="286" t="s">
        <v>8</v>
      </c>
      <c r="M137" s="1"/>
      <c r="N137" s="1"/>
    </row>
    <row r="138" spans="2:14">
      <c r="B138" s="284"/>
      <c r="C138" s="312" t="s">
        <v>154</v>
      </c>
      <c r="D138" s="267" t="s">
        <v>177</v>
      </c>
      <c r="E138" s="284"/>
      <c r="F138" s="276"/>
      <c r="G138" s="284"/>
      <c r="H138" s="278">
        <f>+H139+H140</f>
        <v>400000</v>
      </c>
      <c r="I138" s="284"/>
      <c r="J138" s="278">
        <f>+J139+J140</f>
        <v>400000</v>
      </c>
      <c r="K138" s="291"/>
      <c r="L138" s="293" t="s">
        <v>8</v>
      </c>
      <c r="M138" s="1"/>
      <c r="N138" s="1"/>
    </row>
    <row r="139" spans="2:14">
      <c r="B139" s="284"/>
      <c r="C139" s="280"/>
      <c r="D139" s="314" t="s">
        <v>56</v>
      </c>
      <c r="E139" s="284" t="s">
        <v>57</v>
      </c>
      <c r="F139" s="302">
        <f>+F135</f>
        <v>100000</v>
      </c>
      <c r="G139" s="269">
        <v>3</v>
      </c>
      <c r="H139" s="294">
        <f t="shared" si="15"/>
        <v>300000</v>
      </c>
      <c r="I139" s="269">
        <v>3</v>
      </c>
      <c r="J139" s="294">
        <f t="shared" si="16"/>
        <v>300000</v>
      </c>
      <c r="K139" s="277"/>
      <c r="L139" s="265" t="s">
        <v>8</v>
      </c>
      <c r="M139" s="1"/>
      <c r="N139" s="1"/>
    </row>
    <row r="140" spans="2:14" ht="15.75" customHeight="1">
      <c r="B140" s="284"/>
      <c r="C140" s="177" t="s">
        <v>8</v>
      </c>
      <c r="D140" s="267" t="s">
        <v>178</v>
      </c>
      <c r="E140" s="284" t="s">
        <v>55</v>
      </c>
      <c r="F140" s="313">
        <v>50000</v>
      </c>
      <c r="G140" s="269">
        <v>2</v>
      </c>
      <c r="H140" s="294">
        <f t="shared" si="15"/>
        <v>100000</v>
      </c>
      <c r="I140" s="269">
        <v>2</v>
      </c>
      <c r="J140" s="294">
        <f t="shared" si="16"/>
        <v>100000</v>
      </c>
      <c r="K140" s="277"/>
      <c r="L140" s="265" t="s">
        <v>8</v>
      </c>
      <c r="M140" s="1"/>
      <c r="N140" s="1"/>
    </row>
    <row r="141" spans="2:14">
      <c r="B141" s="284"/>
      <c r="C141" s="330" t="s">
        <v>179</v>
      </c>
      <c r="D141" s="314" t="s">
        <v>156</v>
      </c>
      <c r="E141" s="284"/>
      <c r="F141" s="308"/>
      <c r="G141" s="284"/>
      <c r="H141" s="278">
        <f>SUM(H142:H145)</f>
        <v>2200500</v>
      </c>
      <c r="I141" s="284"/>
      <c r="J141" s="278">
        <f>SUM(J142:J145)</f>
        <v>2200500</v>
      </c>
      <c r="K141" s="291"/>
      <c r="L141" s="293" t="s">
        <v>8</v>
      </c>
      <c r="M141" s="1"/>
      <c r="N141" s="1"/>
    </row>
    <row r="142" spans="2:14">
      <c r="B142" s="315"/>
      <c r="C142" s="177"/>
      <c r="D142" s="267" t="s">
        <v>56</v>
      </c>
      <c r="E142" s="284" t="s">
        <v>57</v>
      </c>
      <c r="F142" s="313">
        <f>+F139</f>
        <v>100000</v>
      </c>
      <c r="G142" s="269">
        <v>6</v>
      </c>
      <c r="H142" s="294">
        <f t="shared" si="15"/>
        <v>600000</v>
      </c>
      <c r="I142" s="269">
        <v>6</v>
      </c>
      <c r="J142" s="294">
        <f t="shared" si="16"/>
        <v>600000</v>
      </c>
      <c r="K142" s="277"/>
      <c r="L142" s="265" t="s">
        <v>8</v>
      </c>
      <c r="M142" s="1"/>
      <c r="N142" s="1"/>
    </row>
    <row r="143" spans="2:14">
      <c r="B143" s="315"/>
      <c r="C143" s="280"/>
      <c r="D143" s="314" t="s">
        <v>157</v>
      </c>
      <c r="E143" s="284" t="s">
        <v>84</v>
      </c>
      <c r="F143" s="316">
        <v>3000</v>
      </c>
      <c r="G143" s="269">
        <v>165</v>
      </c>
      <c r="H143" s="294">
        <f t="shared" si="15"/>
        <v>495000</v>
      </c>
      <c r="I143" s="269">
        <v>165</v>
      </c>
      <c r="J143" s="294">
        <f t="shared" si="16"/>
        <v>495000</v>
      </c>
      <c r="K143" s="277"/>
      <c r="L143" s="265" t="s">
        <v>8</v>
      </c>
      <c r="M143" s="1"/>
      <c r="N143" s="1"/>
    </row>
    <row r="144" spans="2:14">
      <c r="B144" s="284"/>
      <c r="C144" s="177"/>
      <c r="D144" s="267" t="s">
        <v>159</v>
      </c>
      <c r="E144" s="284" t="s">
        <v>84</v>
      </c>
      <c r="F144" s="309">
        <v>4000</v>
      </c>
      <c r="G144" s="269">
        <v>104.5</v>
      </c>
      <c r="H144" s="294">
        <f t="shared" si="15"/>
        <v>418000</v>
      </c>
      <c r="I144" s="269">
        <v>104.5</v>
      </c>
      <c r="J144" s="294">
        <f t="shared" si="16"/>
        <v>418000</v>
      </c>
      <c r="K144" s="277"/>
      <c r="L144" s="265" t="s">
        <v>8</v>
      </c>
      <c r="M144" s="1"/>
      <c r="N144" s="1"/>
    </row>
    <row r="145" spans="2:14">
      <c r="B145" s="315"/>
      <c r="C145" s="280"/>
      <c r="D145" s="314" t="s">
        <v>180</v>
      </c>
      <c r="E145" s="284" t="s">
        <v>84</v>
      </c>
      <c r="F145" s="316">
        <v>5000</v>
      </c>
      <c r="G145" s="269">
        <v>137.5</v>
      </c>
      <c r="H145" s="294">
        <f t="shared" si="15"/>
        <v>687500</v>
      </c>
      <c r="I145" s="269">
        <v>137.5</v>
      </c>
      <c r="J145" s="294">
        <f t="shared" si="16"/>
        <v>687500</v>
      </c>
      <c r="K145" s="277"/>
      <c r="L145" s="265" t="s">
        <v>8</v>
      </c>
      <c r="M145" s="1"/>
      <c r="N145" s="1"/>
    </row>
    <row r="146" spans="2:14">
      <c r="B146" s="315"/>
      <c r="C146" s="403" t="s">
        <v>6</v>
      </c>
      <c r="D146" s="426"/>
      <c r="E146" s="284"/>
      <c r="F146" s="284"/>
      <c r="G146" s="284"/>
      <c r="H146" s="278">
        <f>+H141+H138+H134+H129</f>
        <v>6100500</v>
      </c>
      <c r="I146" s="284"/>
      <c r="J146" s="278">
        <f>+J141+J138+J134+J129</f>
        <v>5880500</v>
      </c>
      <c r="K146" s="291"/>
      <c r="L146" s="293" t="s">
        <v>8</v>
      </c>
      <c r="M146" s="1"/>
      <c r="N146" s="1"/>
    </row>
    <row r="147" spans="2:14">
      <c r="B147" s="1"/>
      <c r="C147" s="1"/>
      <c r="D147" s="1"/>
      <c r="E147" s="1"/>
      <c r="F147" s="1"/>
      <c r="G147" s="1"/>
      <c r="H147" s="1"/>
      <c r="I147" s="1"/>
      <c r="J147" s="1"/>
      <c r="K147" s="94"/>
      <c r="L147" s="295" t="s">
        <v>8</v>
      </c>
      <c r="M147" s="1"/>
      <c r="N147" s="1"/>
    </row>
    <row r="148" spans="2:14">
      <c r="B148" s="63" t="s">
        <v>8</v>
      </c>
      <c r="C148" s="64"/>
      <c r="D148" s="64" t="s">
        <v>8</v>
      </c>
      <c r="I148" s="63"/>
      <c r="J148" s="63"/>
      <c r="K148" s="63"/>
      <c r="L148" s="63"/>
    </row>
    <row r="149" spans="2:14">
      <c r="D149" t="s">
        <v>8</v>
      </c>
    </row>
  </sheetData>
  <mergeCells count="61">
    <mergeCell ref="B7:M7"/>
    <mergeCell ref="B8:B9"/>
    <mergeCell ref="D8:D9"/>
    <mergeCell ref="F8:F9"/>
    <mergeCell ref="H8:I8"/>
    <mergeCell ref="J8:K8"/>
    <mergeCell ref="L8:M8"/>
    <mergeCell ref="C10:D10"/>
    <mergeCell ref="C14:D14"/>
    <mergeCell ref="C27:D27"/>
    <mergeCell ref="D19:E19"/>
    <mergeCell ref="B30:L30"/>
    <mergeCell ref="K31:L31"/>
    <mergeCell ref="C33:D33"/>
    <mergeCell ref="C37:D37"/>
    <mergeCell ref="C50:D50"/>
    <mergeCell ref="B53:L53"/>
    <mergeCell ref="B31:B32"/>
    <mergeCell ref="D31:D32"/>
    <mergeCell ref="E31:E32"/>
    <mergeCell ref="G31:H31"/>
    <mergeCell ref="I31:J31"/>
    <mergeCell ref="K55:L55"/>
    <mergeCell ref="C57:D57"/>
    <mergeCell ref="C61:D61"/>
    <mergeCell ref="C74:D74"/>
    <mergeCell ref="B77:L77"/>
    <mergeCell ref="B55:B56"/>
    <mergeCell ref="D55:D56"/>
    <mergeCell ref="E55:E56"/>
    <mergeCell ref="G55:H55"/>
    <mergeCell ref="I55:J55"/>
    <mergeCell ref="K79:L79"/>
    <mergeCell ref="C81:D81"/>
    <mergeCell ref="C85:D85"/>
    <mergeCell ref="C98:D98"/>
    <mergeCell ref="B101:L101"/>
    <mergeCell ref="B79:B80"/>
    <mergeCell ref="D79:D80"/>
    <mergeCell ref="E79:E80"/>
    <mergeCell ref="G79:H79"/>
    <mergeCell ref="I79:J79"/>
    <mergeCell ref="K103:L103"/>
    <mergeCell ref="C105:D105"/>
    <mergeCell ref="C109:D109"/>
    <mergeCell ref="C122:D122"/>
    <mergeCell ref="B125:L125"/>
    <mergeCell ref="B103:B104"/>
    <mergeCell ref="D103:D104"/>
    <mergeCell ref="E103:E104"/>
    <mergeCell ref="G103:H103"/>
    <mergeCell ref="I103:J103"/>
    <mergeCell ref="K127:L127"/>
    <mergeCell ref="C129:D129"/>
    <mergeCell ref="C133:D133"/>
    <mergeCell ref="C146:D146"/>
    <mergeCell ref="B127:B128"/>
    <mergeCell ref="D127:D128"/>
    <mergeCell ref="E127:E128"/>
    <mergeCell ref="G127:H127"/>
    <mergeCell ref="I127:J12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V21"/>
  <sheetViews>
    <sheetView topLeftCell="A4" workbookViewId="0">
      <selection activeCell="B21" sqref="B21"/>
    </sheetView>
  </sheetViews>
  <sheetFormatPr defaultRowHeight="15"/>
  <cols>
    <col min="2" max="2" width="6.5703125" customWidth="1"/>
    <col min="3" max="3" width="3.7109375" customWidth="1"/>
    <col min="4" max="4" width="20" customWidth="1"/>
    <col min="5" max="5" width="3" customWidth="1"/>
    <col min="6" max="6" width="11.85546875" customWidth="1"/>
    <col min="7" max="7" width="10.85546875" customWidth="1"/>
    <col min="8" max="8" width="14" customWidth="1"/>
    <col min="9" max="12" width="10.85546875" customWidth="1"/>
    <col min="13" max="13" width="15.5703125" customWidth="1"/>
    <col min="14" max="14" width="19" customWidth="1"/>
    <col min="16" max="16" width="11.5703125" bestFit="1" customWidth="1"/>
  </cols>
  <sheetData>
    <row r="1" spans="2:22">
      <c r="B1" s="2" t="s">
        <v>59</v>
      </c>
      <c r="C1" s="2"/>
      <c r="D1" s="2"/>
      <c r="E1" s="14" t="s">
        <v>8</v>
      </c>
    </row>
    <row r="2" spans="2:22">
      <c r="B2" s="1" t="s">
        <v>1</v>
      </c>
      <c r="C2" s="1"/>
      <c r="D2" s="1"/>
      <c r="E2" s="14" t="s">
        <v>7</v>
      </c>
      <c r="F2" t="s">
        <v>78</v>
      </c>
    </row>
    <row r="3" spans="2:22">
      <c r="B3" s="1" t="s">
        <v>2</v>
      </c>
      <c r="C3" s="1"/>
      <c r="D3" s="1"/>
      <c r="E3" s="14" t="s">
        <v>7</v>
      </c>
      <c r="F3" t="s">
        <v>323</v>
      </c>
    </row>
    <row r="4" spans="2:22">
      <c r="B4" s="1" t="s">
        <v>94</v>
      </c>
      <c r="C4" s="2"/>
      <c r="D4" s="2"/>
      <c r="E4" s="14" t="s">
        <v>7</v>
      </c>
      <c r="F4" t="s">
        <v>95</v>
      </c>
    </row>
    <row r="6" spans="2:22">
      <c r="B6" s="164" t="s">
        <v>60</v>
      </c>
      <c r="C6" s="446" t="s">
        <v>15</v>
      </c>
      <c r="D6" s="447"/>
      <c r="E6" s="448"/>
      <c r="F6" s="164" t="s">
        <v>54</v>
      </c>
      <c r="G6" s="164" t="s">
        <v>17</v>
      </c>
      <c r="H6" s="164" t="s">
        <v>252</v>
      </c>
      <c r="I6" s="164" t="s">
        <v>253</v>
      </c>
      <c r="J6" s="164" t="s">
        <v>254</v>
      </c>
      <c r="K6" s="164" t="s">
        <v>255</v>
      </c>
      <c r="L6" s="164" t="s">
        <v>96</v>
      </c>
      <c r="M6" s="164" t="s">
        <v>61</v>
      </c>
      <c r="N6" s="165" t="s">
        <v>289</v>
      </c>
    </row>
    <row r="7" spans="2:22">
      <c r="B7" s="76" t="s">
        <v>18</v>
      </c>
      <c r="C7" s="77" t="s">
        <v>268</v>
      </c>
      <c r="D7" s="16"/>
      <c r="E7" s="12"/>
      <c r="F7" s="11">
        <v>2</v>
      </c>
      <c r="G7" s="3" t="s">
        <v>22</v>
      </c>
      <c r="H7" s="3"/>
      <c r="I7" s="3"/>
      <c r="J7" s="3"/>
      <c r="K7" s="3"/>
      <c r="L7" s="52">
        <f>+'Tabel Lampiran 5'!I27</f>
        <v>6254500</v>
      </c>
      <c r="M7" s="78">
        <f>+L7</f>
        <v>6254500</v>
      </c>
      <c r="N7" s="25">
        <f>+M7</f>
        <v>6254500</v>
      </c>
      <c r="V7" t="s">
        <v>8</v>
      </c>
    </row>
    <row r="8" spans="2:22">
      <c r="B8" s="9" t="s">
        <v>21</v>
      </c>
      <c r="C8" s="5" t="s">
        <v>280</v>
      </c>
      <c r="E8" s="7"/>
      <c r="F8">
        <v>1</v>
      </c>
      <c r="G8" s="9" t="s">
        <v>55</v>
      </c>
      <c r="H8" s="52">
        <f>+'Tabel Lampiran 4'!I31</f>
        <v>38850000</v>
      </c>
      <c r="I8" s="80">
        <f>+'Tabel Lampiran 4'!I55</f>
        <v>6616250</v>
      </c>
      <c r="J8" s="80">
        <f>+'Tabel Lampiran 4'!K55</f>
        <v>3693750</v>
      </c>
      <c r="K8" s="80">
        <f>+'Tabel Lampiran 4'!M55</f>
        <v>3693750</v>
      </c>
      <c r="L8" s="80">
        <v>0</v>
      </c>
      <c r="M8" s="49">
        <f>SUM(H8:K8)</f>
        <v>52853750</v>
      </c>
      <c r="N8" s="50">
        <f>+M8</f>
        <v>52853750</v>
      </c>
    </row>
    <row r="9" spans="2:22">
      <c r="B9" s="8"/>
      <c r="C9" s="10" t="s">
        <v>65</v>
      </c>
      <c r="D9" s="11"/>
      <c r="E9" s="12"/>
      <c r="F9" s="11"/>
      <c r="G9" s="8"/>
      <c r="H9" s="8"/>
      <c r="I9" s="8"/>
      <c r="J9" s="8"/>
      <c r="K9" s="8"/>
      <c r="L9" s="8"/>
      <c r="M9" s="48"/>
      <c r="N9" s="25">
        <f>+N8+N7</f>
        <v>59108250</v>
      </c>
    </row>
    <row r="10" spans="2:22">
      <c r="B10" s="4"/>
      <c r="C10" s="19" t="s">
        <v>69</v>
      </c>
      <c r="D10" s="20"/>
      <c r="E10" s="7"/>
      <c r="G10" s="4"/>
      <c r="H10" s="8"/>
      <c r="I10" s="8"/>
      <c r="J10" s="8"/>
      <c r="K10" s="8"/>
      <c r="L10" s="8"/>
      <c r="N10" s="4"/>
    </row>
    <row r="11" spans="2:22">
      <c r="B11" s="3" t="s">
        <v>18</v>
      </c>
      <c r="C11" s="10" t="s">
        <v>62</v>
      </c>
      <c r="D11" s="11"/>
      <c r="E11" s="12"/>
      <c r="F11" s="11"/>
      <c r="G11" s="8"/>
      <c r="H11" s="8"/>
      <c r="I11" s="8"/>
      <c r="J11" s="8"/>
      <c r="K11" s="8"/>
      <c r="L11" s="8"/>
      <c r="M11" s="11"/>
      <c r="N11" s="8"/>
    </row>
    <row r="12" spans="2:22">
      <c r="B12" s="9"/>
      <c r="C12" s="5" t="s">
        <v>35</v>
      </c>
      <c r="D12" s="6" t="s">
        <v>45</v>
      </c>
      <c r="E12" s="7"/>
      <c r="F12">
        <f>+'Tabel Lampiran 3'!F27</f>
        <v>70</v>
      </c>
      <c r="G12" s="26" t="s">
        <v>89</v>
      </c>
      <c r="H12" s="81">
        <v>0</v>
      </c>
      <c r="I12" s="81">
        <v>0</v>
      </c>
      <c r="J12" s="81">
        <v>0</v>
      </c>
      <c r="K12" s="81">
        <v>0</v>
      </c>
      <c r="L12" s="81">
        <f>0.7*L7</f>
        <v>4378150</v>
      </c>
      <c r="M12" s="49">
        <f>+L12</f>
        <v>4378150</v>
      </c>
      <c r="N12" s="25">
        <f>+M12</f>
        <v>4378150</v>
      </c>
      <c r="Q12" s="49" t="s">
        <v>8</v>
      </c>
    </row>
    <row r="13" spans="2:22">
      <c r="B13" s="3"/>
      <c r="C13" s="10" t="s">
        <v>36</v>
      </c>
      <c r="D13" s="11" t="s">
        <v>66</v>
      </c>
      <c r="E13" s="12"/>
      <c r="F13" s="11">
        <f>+'Tabel Lampiran 3'!F28</f>
        <v>30</v>
      </c>
      <c r="G13" s="26" t="s">
        <v>89</v>
      </c>
      <c r="H13" s="81">
        <v>0</v>
      </c>
      <c r="I13" s="81">
        <v>0</v>
      </c>
      <c r="J13" s="81">
        <v>0</v>
      </c>
      <c r="K13" s="81">
        <v>0</v>
      </c>
      <c r="L13" s="81">
        <f>0.3*L7</f>
        <v>1876350</v>
      </c>
      <c r="M13" s="48">
        <f>+L13</f>
        <v>1876350</v>
      </c>
      <c r="N13" s="25">
        <f>+M13</f>
        <v>1876350</v>
      </c>
    </row>
    <row r="14" spans="2:22">
      <c r="B14" s="9"/>
      <c r="C14" s="5" t="s">
        <v>67</v>
      </c>
      <c r="D14" s="6"/>
      <c r="E14" s="7"/>
      <c r="G14" s="4"/>
      <c r="H14" s="8"/>
      <c r="I14" s="8"/>
      <c r="J14" s="8"/>
      <c r="K14" s="8"/>
      <c r="L14" s="25">
        <f>+L13+L12</f>
        <v>6254500</v>
      </c>
      <c r="M14" s="25">
        <f>+M13+M12</f>
        <v>6254500</v>
      </c>
      <c r="N14" s="50">
        <f>SUM(N12:N13)</f>
        <v>6254500</v>
      </c>
    </row>
    <row r="15" spans="2:22">
      <c r="B15" s="18" t="s">
        <v>21</v>
      </c>
      <c r="C15" s="10" t="s">
        <v>64</v>
      </c>
      <c r="D15" s="11"/>
      <c r="E15" s="12"/>
      <c r="F15" s="11"/>
      <c r="G15" s="8"/>
      <c r="H15" s="8"/>
      <c r="I15" s="8"/>
      <c r="J15" s="8"/>
      <c r="K15" s="8"/>
      <c r="L15" s="8"/>
      <c r="M15" s="11"/>
      <c r="N15" s="8"/>
    </row>
    <row r="16" spans="2:22">
      <c r="B16" s="8"/>
      <c r="C16" s="10" t="s">
        <v>35</v>
      </c>
      <c r="D16" s="11" t="s">
        <v>45</v>
      </c>
      <c r="E16" s="12"/>
      <c r="F16" s="12">
        <v>100</v>
      </c>
      <c r="G16" s="26" t="s">
        <v>89</v>
      </c>
      <c r="H16" s="81">
        <f>0.7*H8</f>
        <v>27195000</v>
      </c>
      <c r="I16" s="81">
        <f t="shared" ref="I16:L17" si="0">0.7*I8</f>
        <v>4631375</v>
      </c>
      <c r="J16" s="81">
        <f t="shared" si="0"/>
        <v>2585625</v>
      </c>
      <c r="K16" s="81">
        <f t="shared" si="0"/>
        <v>2585625</v>
      </c>
      <c r="L16" s="81">
        <f t="shared" si="0"/>
        <v>0</v>
      </c>
      <c r="M16" s="25">
        <f>SUM(H16:L16)</f>
        <v>36997625</v>
      </c>
      <c r="N16" s="25">
        <f>+F16/100*M16</f>
        <v>36997625</v>
      </c>
    </row>
    <row r="17" spans="2:14">
      <c r="B17" s="8"/>
      <c r="C17" s="10" t="s">
        <v>36</v>
      </c>
      <c r="D17" s="22" t="s">
        <v>281</v>
      </c>
      <c r="E17" s="12"/>
      <c r="F17" s="11">
        <v>100</v>
      </c>
      <c r="G17" s="26" t="s">
        <v>89</v>
      </c>
      <c r="H17" s="81">
        <f>+'Tabel Lampiran 7'!F10</f>
        <v>2039625</v>
      </c>
      <c r="I17" s="81">
        <f>+'Tabel Lampiran 7'!G10</f>
        <v>2539950</v>
      </c>
      <c r="J17" s="81">
        <f>+'Tabel Lampiran 7'!H10</f>
        <v>2924368.125</v>
      </c>
      <c r="K17" s="81">
        <f>+'Tabel Lampiran 7'!I10</f>
        <v>3337617.609375</v>
      </c>
      <c r="L17" s="81">
        <f t="shared" si="0"/>
        <v>0</v>
      </c>
      <c r="M17" s="25">
        <f>SUM(H17:L17)</f>
        <v>10841560.734375</v>
      </c>
      <c r="N17" s="25">
        <f>+M17</f>
        <v>10841560.734375</v>
      </c>
    </row>
    <row r="18" spans="2:14">
      <c r="B18" s="4"/>
      <c r="C18" s="5"/>
      <c r="D18" s="17" t="s">
        <v>282</v>
      </c>
      <c r="E18" s="7"/>
      <c r="G18" s="82"/>
      <c r="H18" s="81">
        <f>+H17+H16</f>
        <v>29234625</v>
      </c>
      <c r="I18" s="81">
        <f t="shared" ref="I18:K18" si="1">+I17+I16</f>
        <v>7171325</v>
      </c>
      <c r="J18" s="81">
        <f t="shared" si="1"/>
        <v>5509993.125</v>
      </c>
      <c r="K18" s="81">
        <f t="shared" si="1"/>
        <v>5923242.609375</v>
      </c>
      <c r="L18" s="81"/>
      <c r="M18" s="25">
        <f>+M17+M16</f>
        <v>47839185.734375</v>
      </c>
      <c r="N18" s="25">
        <f>+N17+N16</f>
        <v>47839185.734375</v>
      </c>
    </row>
    <row r="19" spans="2:14">
      <c r="B19" s="8"/>
      <c r="C19" s="10" t="s">
        <v>37</v>
      </c>
      <c r="D19" s="11" t="s">
        <v>66</v>
      </c>
      <c r="E19" s="12"/>
      <c r="F19" s="11">
        <f>+'Tabel Lampiran 3'!F31</f>
        <v>30</v>
      </c>
      <c r="G19" s="26" t="s">
        <v>89</v>
      </c>
      <c r="H19" s="81">
        <f>0.3*H8</f>
        <v>11655000</v>
      </c>
      <c r="I19" s="81">
        <f t="shared" ref="I19:L19" si="2">0.3*I8</f>
        <v>1984875</v>
      </c>
      <c r="J19" s="81">
        <f t="shared" si="2"/>
        <v>1108125</v>
      </c>
      <c r="K19" s="81">
        <f t="shared" si="2"/>
        <v>1108125</v>
      </c>
      <c r="L19" s="81">
        <f t="shared" si="2"/>
        <v>0</v>
      </c>
      <c r="M19" s="49">
        <f>SUM(H19:L19)</f>
        <v>15856125</v>
      </c>
      <c r="N19" s="25">
        <f>+F19/100*M19</f>
        <v>4756837.5</v>
      </c>
    </row>
    <row r="20" spans="2:14">
      <c r="B20" s="8"/>
      <c r="C20" s="10" t="s">
        <v>68</v>
      </c>
      <c r="D20" s="11"/>
      <c r="E20" s="12"/>
      <c r="F20" s="11"/>
      <c r="G20" s="8"/>
      <c r="H20" s="25">
        <f>+H19+H18</f>
        <v>40889625</v>
      </c>
      <c r="I20" s="25">
        <f t="shared" ref="I20:K20" si="3">+I19+I18</f>
        <v>9156200</v>
      </c>
      <c r="J20" s="25">
        <f t="shared" si="3"/>
        <v>6618118.125</v>
      </c>
      <c r="K20" s="25">
        <f t="shared" si="3"/>
        <v>7031367.609375</v>
      </c>
      <c r="L20" s="25">
        <f t="shared" ref="L20:M20" si="4">+L19+L16</f>
        <v>0</v>
      </c>
      <c r="M20" s="25">
        <f t="shared" si="4"/>
        <v>52853750</v>
      </c>
      <c r="N20" s="25">
        <f>+N19+N18</f>
        <v>52596023.234375</v>
      </c>
    </row>
    <row r="21" spans="2:14">
      <c r="B21" s="377" t="s">
        <v>320</v>
      </c>
      <c r="C21" s="377"/>
      <c r="D21" s="377"/>
      <c r="E21" s="377"/>
      <c r="F21" s="377"/>
      <c r="G21" s="377"/>
      <c r="N21" s="49" t="s">
        <v>8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N50"/>
  <sheetViews>
    <sheetView topLeftCell="A27" workbookViewId="0">
      <selection activeCell="A46" sqref="A46"/>
    </sheetView>
  </sheetViews>
  <sheetFormatPr defaultRowHeight="15"/>
  <cols>
    <col min="2" max="2" width="5.85546875" customWidth="1"/>
    <col min="3" max="3" width="3.85546875" customWidth="1"/>
    <col min="4" max="4" width="30.28515625" customWidth="1"/>
    <col min="5" max="5" width="3.42578125" customWidth="1"/>
    <col min="6" max="6" width="15.42578125" customWidth="1"/>
    <col min="7" max="7" width="11.140625" customWidth="1"/>
    <col min="8" max="8" width="11.7109375" customWidth="1"/>
    <col min="9" max="9" width="11" customWidth="1"/>
    <col min="10" max="10" width="4.7109375" customWidth="1"/>
    <col min="11" max="11" width="5.85546875" customWidth="1"/>
    <col min="12" max="12" width="4.85546875" customWidth="1"/>
    <col min="13" max="13" width="33.7109375" customWidth="1"/>
    <col min="14" max="14" width="13.7109375" customWidth="1"/>
    <col min="15" max="15" width="13" customWidth="1"/>
    <col min="16" max="16" width="12" customWidth="1"/>
    <col min="17" max="17" width="13.42578125" customWidth="1"/>
    <col min="18" max="18" width="12" customWidth="1"/>
    <col min="19" max="19" width="13.7109375" customWidth="1"/>
    <col min="20" max="20" width="5.140625" customWidth="1"/>
    <col min="21" max="21" width="5.5703125" customWidth="1"/>
    <col min="22" max="22" width="4.7109375" customWidth="1"/>
    <col min="23" max="23" width="34" customWidth="1"/>
    <col min="24" max="24" width="11.5703125" customWidth="1"/>
    <col min="25" max="25" width="11" customWidth="1"/>
    <col min="26" max="26" width="11.7109375" customWidth="1"/>
    <col min="27" max="27" width="12.28515625" customWidth="1"/>
    <col min="28" max="28" width="11" customWidth="1"/>
    <col min="29" max="29" width="11.42578125" customWidth="1"/>
    <col min="31" max="31" width="5.140625" customWidth="1"/>
    <col min="32" max="32" width="5.42578125" customWidth="1"/>
    <col min="33" max="33" width="35" customWidth="1"/>
    <col min="34" max="34" width="14" customWidth="1"/>
    <col min="35" max="35" width="12.85546875" customWidth="1"/>
    <col min="36" max="36" width="13" customWidth="1"/>
    <col min="37" max="38" width="14.28515625" customWidth="1"/>
  </cols>
  <sheetData>
    <row r="1" spans="2:38">
      <c r="B1" s="2" t="s">
        <v>70</v>
      </c>
      <c r="C1" s="2"/>
      <c r="D1" s="2"/>
      <c r="E1" s="2"/>
      <c r="F1" s="103" t="s">
        <v>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2:38">
      <c r="B2" s="1" t="s">
        <v>1</v>
      </c>
      <c r="C2" s="1"/>
      <c r="D2" s="1"/>
      <c r="E2" s="103" t="s">
        <v>7</v>
      </c>
      <c r="F2" s="1" t="s">
        <v>78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2:38">
      <c r="B3" s="1" t="s">
        <v>2</v>
      </c>
      <c r="C3" s="1"/>
      <c r="D3" s="1"/>
      <c r="E3" s="103" t="s">
        <v>7</v>
      </c>
      <c r="F3" t="s">
        <v>323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2:38">
      <c r="B4" s="1" t="s">
        <v>94</v>
      </c>
      <c r="C4" s="1"/>
      <c r="D4" s="1"/>
      <c r="E4" s="103" t="s">
        <v>7</v>
      </c>
      <c r="F4" s="1" t="s">
        <v>95</v>
      </c>
      <c r="G4" s="1"/>
      <c r="H4" s="1"/>
      <c r="I4" s="1"/>
      <c r="J4" s="1"/>
      <c r="K4" s="1"/>
      <c r="L4" s="1"/>
      <c r="M4" s="1"/>
      <c r="N4" s="1" t="s">
        <v>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2:38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>
      <c r="B6" s="449" t="s">
        <v>327</v>
      </c>
      <c r="C6" s="449"/>
      <c r="D6" s="449"/>
      <c r="E6" s="449"/>
      <c r="F6" s="449"/>
      <c r="G6" s="449"/>
      <c r="H6" s="449"/>
      <c r="I6" s="449"/>
      <c r="J6" s="166"/>
      <c r="K6" s="449" t="s">
        <v>329</v>
      </c>
      <c r="L6" s="449"/>
      <c r="M6" s="449"/>
      <c r="N6" s="449"/>
      <c r="O6" s="449"/>
      <c r="P6" s="449"/>
      <c r="Q6" s="449"/>
      <c r="R6" s="449"/>
      <c r="S6" s="449"/>
      <c r="T6" s="1"/>
      <c r="U6" s="449" t="s">
        <v>331</v>
      </c>
      <c r="V6" s="449"/>
      <c r="W6" s="449"/>
      <c r="X6" s="449"/>
      <c r="Y6" s="449"/>
      <c r="Z6" s="449"/>
      <c r="AA6" s="449"/>
      <c r="AB6" s="449"/>
      <c r="AC6" s="449"/>
      <c r="AD6" s="1"/>
      <c r="AE6" s="453" t="s">
        <v>8</v>
      </c>
      <c r="AF6" s="453"/>
      <c r="AG6" s="453"/>
      <c r="AH6" s="453"/>
      <c r="AI6" s="453"/>
      <c r="AJ6" s="453"/>
      <c r="AK6" s="453"/>
      <c r="AL6" s="453"/>
    </row>
    <row r="7" spans="2:38">
      <c r="B7" s="167"/>
      <c r="C7" s="167"/>
      <c r="D7" s="167"/>
      <c r="E7" s="168"/>
      <c r="F7" s="169"/>
      <c r="G7" s="169"/>
      <c r="H7" s="169"/>
      <c r="I7" s="169"/>
      <c r="J7" s="169"/>
      <c r="K7" s="167"/>
      <c r="L7" s="167"/>
      <c r="M7" s="167"/>
      <c r="N7" s="169"/>
      <c r="O7" s="169"/>
      <c r="P7" s="169"/>
      <c r="Q7" s="169"/>
      <c r="R7" s="169"/>
      <c r="S7" s="169"/>
      <c r="T7" s="1"/>
      <c r="U7" s="167"/>
      <c r="V7" s="167"/>
      <c r="W7" s="167"/>
      <c r="X7" s="169"/>
      <c r="Y7" s="169"/>
      <c r="Z7" s="169"/>
      <c r="AA7" s="169"/>
      <c r="AB7" s="169"/>
      <c r="AC7" s="169"/>
      <c r="AD7" s="1"/>
      <c r="AE7" s="168"/>
      <c r="AF7" s="168"/>
      <c r="AG7" s="168"/>
      <c r="AH7" s="169"/>
      <c r="AI7" s="169"/>
      <c r="AJ7" s="169"/>
      <c r="AK7" s="169"/>
      <c r="AL7" s="169"/>
    </row>
    <row r="8" spans="2:38">
      <c r="B8" s="170" t="s">
        <v>60</v>
      </c>
      <c r="C8" s="454" t="s">
        <v>15</v>
      </c>
      <c r="D8" s="451"/>
      <c r="E8" s="171"/>
      <c r="F8" s="172" t="s">
        <v>195</v>
      </c>
      <c r="G8" s="173" t="s">
        <v>196</v>
      </c>
      <c r="H8" s="173" t="s">
        <v>197</v>
      </c>
      <c r="I8" s="173" t="s">
        <v>198</v>
      </c>
      <c r="J8" s="175"/>
      <c r="K8" s="170" t="s">
        <v>60</v>
      </c>
      <c r="L8" s="451" t="s">
        <v>15</v>
      </c>
      <c r="M8" s="452"/>
      <c r="N8" s="172" t="s">
        <v>199</v>
      </c>
      <c r="O8" s="173" t="s">
        <v>200</v>
      </c>
      <c r="P8" s="173" t="s">
        <v>201</v>
      </c>
      <c r="Q8" s="173" t="s">
        <v>202</v>
      </c>
      <c r="R8" s="173" t="s">
        <v>203</v>
      </c>
      <c r="S8" s="174" t="s">
        <v>204</v>
      </c>
      <c r="T8" s="1"/>
      <c r="U8" s="170" t="s">
        <v>60</v>
      </c>
      <c r="V8" s="451" t="s">
        <v>15</v>
      </c>
      <c r="W8" s="452"/>
      <c r="X8" s="172" t="s">
        <v>205</v>
      </c>
      <c r="Y8" s="173" t="s">
        <v>206</v>
      </c>
      <c r="Z8" s="173" t="s">
        <v>207</v>
      </c>
      <c r="AA8" s="173" t="s">
        <v>208</v>
      </c>
      <c r="AB8" s="173" t="s">
        <v>209</v>
      </c>
      <c r="AC8" s="174" t="s">
        <v>210</v>
      </c>
      <c r="AD8" s="1"/>
      <c r="AE8" s="176" t="s">
        <v>8</v>
      </c>
      <c r="AF8" s="455" t="s">
        <v>8</v>
      </c>
      <c r="AG8" s="455"/>
      <c r="AH8" s="175" t="s">
        <v>8</v>
      </c>
      <c r="AI8" s="175" t="s">
        <v>8</v>
      </c>
      <c r="AJ8" s="175" t="s">
        <v>8</v>
      </c>
      <c r="AK8" s="175" t="s">
        <v>8</v>
      </c>
      <c r="AL8" s="175" t="s">
        <v>8</v>
      </c>
    </row>
    <row r="9" spans="2:38">
      <c r="B9" s="178" t="s">
        <v>18</v>
      </c>
      <c r="C9" s="179" t="s">
        <v>212</v>
      </c>
      <c r="D9" s="180"/>
      <c r="E9" s="181"/>
      <c r="F9" s="182">
        <f>+'Tabel Lampiran 6'!H16</f>
        <v>27195000</v>
      </c>
      <c r="G9" s="182">
        <f>+'Tabel Lampiran 6'!I16</f>
        <v>4631375</v>
      </c>
      <c r="H9" s="182">
        <f>+'Tabel Lampiran 6'!J16</f>
        <v>2585625</v>
      </c>
      <c r="I9" s="182">
        <f>+'Tabel Lampiran 6'!K16</f>
        <v>2585625</v>
      </c>
      <c r="J9" s="168" t="s">
        <v>8</v>
      </c>
      <c r="K9" s="178" t="s">
        <v>18</v>
      </c>
      <c r="L9" s="180" t="s">
        <v>213</v>
      </c>
      <c r="M9" s="181"/>
      <c r="N9" s="182">
        <v>0</v>
      </c>
      <c r="O9" s="182">
        <v>0</v>
      </c>
      <c r="P9" s="182">
        <v>0</v>
      </c>
      <c r="Q9" s="182">
        <v>0</v>
      </c>
      <c r="R9" s="182">
        <v>0</v>
      </c>
      <c r="S9" s="182">
        <v>0</v>
      </c>
      <c r="T9" s="1"/>
      <c r="U9" s="178" t="s">
        <v>18</v>
      </c>
      <c r="V9" s="180" t="s">
        <v>213</v>
      </c>
      <c r="W9" s="181"/>
      <c r="X9" s="182">
        <v>0</v>
      </c>
      <c r="Y9" s="182">
        <v>0</v>
      </c>
      <c r="Z9" s="182">
        <v>0</v>
      </c>
      <c r="AA9" s="182">
        <v>0</v>
      </c>
      <c r="AB9" s="182">
        <v>0</v>
      </c>
      <c r="AC9" s="182">
        <v>0</v>
      </c>
      <c r="AD9" s="1"/>
      <c r="AE9" s="168" t="s">
        <v>8</v>
      </c>
      <c r="AF9" s="168" t="s">
        <v>8</v>
      </c>
      <c r="AG9" s="168"/>
      <c r="AH9" s="168" t="s">
        <v>8</v>
      </c>
      <c r="AI9" s="168" t="s">
        <v>8</v>
      </c>
      <c r="AJ9" s="168" t="s">
        <v>8</v>
      </c>
      <c r="AK9" s="168" t="s">
        <v>8</v>
      </c>
      <c r="AL9" s="168" t="s">
        <v>8</v>
      </c>
    </row>
    <row r="10" spans="2:38">
      <c r="B10" s="178" t="s">
        <v>21</v>
      </c>
      <c r="C10" s="179" t="s">
        <v>297</v>
      </c>
      <c r="D10" s="180"/>
      <c r="E10" s="181"/>
      <c r="F10" s="182">
        <f>0.075*F9</f>
        <v>2039625</v>
      </c>
      <c r="G10" s="182">
        <f>0.075*(F11+G9)</f>
        <v>2539950</v>
      </c>
      <c r="H10" s="182">
        <f>0.075*(G11+H9)</f>
        <v>2924368.125</v>
      </c>
      <c r="I10" s="182">
        <f>0.075*(H11+I9)</f>
        <v>3337617.609375</v>
      </c>
      <c r="J10" s="168" t="s">
        <v>8</v>
      </c>
      <c r="K10" s="178" t="s">
        <v>21</v>
      </c>
      <c r="L10" s="180" t="s">
        <v>269</v>
      </c>
      <c r="M10" s="181"/>
      <c r="N10" s="182">
        <v>0</v>
      </c>
      <c r="O10" s="182">
        <v>0</v>
      </c>
      <c r="P10" s="182">
        <v>0</v>
      </c>
      <c r="Q10" s="182">
        <v>0</v>
      </c>
      <c r="R10" s="182">
        <v>0</v>
      </c>
      <c r="S10" s="182">
        <v>0</v>
      </c>
      <c r="T10" s="183" t="s">
        <v>8</v>
      </c>
      <c r="U10" s="178" t="s">
        <v>21</v>
      </c>
      <c r="V10" s="180" t="s">
        <v>269</v>
      </c>
      <c r="W10" s="181"/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" t="s">
        <v>8</v>
      </c>
      <c r="AE10" s="168" t="s">
        <v>8</v>
      </c>
      <c r="AF10" s="168" t="s">
        <v>8</v>
      </c>
      <c r="AG10" s="168"/>
      <c r="AH10" s="168" t="s">
        <v>8</v>
      </c>
      <c r="AI10" s="168" t="s">
        <v>8</v>
      </c>
      <c r="AJ10" s="168" t="s">
        <v>8</v>
      </c>
      <c r="AK10" s="168" t="s">
        <v>8</v>
      </c>
      <c r="AL10" s="168" t="s">
        <v>8</v>
      </c>
    </row>
    <row r="11" spans="2:38">
      <c r="B11" s="178" t="s">
        <v>23</v>
      </c>
      <c r="C11" s="179" t="s">
        <v>214</v>
      </c>
      <c r="D11" s="180"/>
      <c r="E11" s="181"/>
      <c r="F11" s="182">
        <f>+F10+F9</f>
        <v>29234625</v>
      </c>
      <c r="G11" s="182">
        <f>+F11+G10+G9</f>
        <v>36405950</v>
      </c>
      <c r="H11" s="182">
        <f>+G11+H10+H9</f>
        <v>41915943.125</v>
      </c>
      <c r="I11" s="182">
        <f>+H11+I10+I9</f>
        <v>47839185.734375</v>
      </c>
      <c r="J11" s="168" t="s">
        <v>8</v>
      </c>
      <c r="K11" s="178" t="s">
        <v>23</v>
      </c>
      <c r="L11" s="180" t="s">
        <v>214</v>
      </c>
      <c r="M11" s="181"/>
      <c r="N11" s="182">
        <f>+I11</f>
        <v>47839185.734375</v>
      </c>
      <c r="O11" s="182">
        <f>+N11-N13</f>
        <v>43055267.160937503</v>
      </c>
      <c r="P11" s="182">
        <f>+O11-O13</f>
        <v>38271348.587500006</v>
      </c>
      <c r="Q11" s="182">
        <f>+P11-P13</f>
        <v>33487430.014062505</v>
      </c>
      <c r="R11" s="182">
        <f>+Q11-Q13</f>
        <v>28703511.440625004</v>
      </c>
      <c r="S11" s="182">
        <f>+R11-R13</f>
        <v>23919592.867187504</v>
      </c>
      <c r="T11" s="1"/>
      <c r="U11" s="178" t="s">
        <v>23</v>
      </c>
      <c r="V11" s="180" t="s">
        <v>214</v>
      </c>
      <c r="W11" s="181"/>
      <c r="X11" s="182">
        <f>+S11-X13</f>
        <v>19135674.293750003</v>
      </c>
      <c r="Y11" s="182">
        <f>+X11-X13</f>
        <v>14351755.720312502</v>
      </c>
      <c r="Z11" s="182">
        <f>+Y11-Z13</f>
        <v>9567837.1468750015</v>
      </c>
      <c r="AA11" s="182">
        <v>0</v>
      </c>
      <c r="AB11" s="182" t="s">
        <v>8</v>
      </c>
      <c r="AC11" s="182" t="s">
        <v>8</v>
      </c>
      <c r="AD11" s="1"/>
      <c r="AE11" s="168" t="s">
        <v>8</v>
      </c>
      <c r="AF11" s="168" t="s">
        <v>8</v>
      </c>
      <c r="AG11" s="168"/>
      <c r="AH11" s="168" t="s">
        <v>8</v>
      </c>
      <c r="AI11" s="168" t="s">
        <v>8</v>
      </c>
      <c r="AJ11" s="168" t="s">
        <v>8</v>
      </c>
      <c r="AK11" s="168" t="s">
        <v>8</v>
      </c>
      <c r="AL11" s="168" t="s">
        <v>8</v>
      </c>
    </row>
    <row r="12" spans="2:38">
      <c r="B12" s="178" t="s">
        <v>27</v>
      </c>
      <c r="C12" s="179" t="s">
        <v>215</v>
      </c>
      <c r="D12" s="180"/>
      <c r="E12" s="181"/>
      <c r="F12" s="182" t="s">
        <v>8</v>
      </c>
      <c r="G12" s="182" t="s">
        <v>8</v>
      </c>
      <c r="H12" s="182" t="s">
        <v>8</v>
      </c>
      <c r="I12" s="182"/>
      <c r="J12" s="168" t="s">
        <v>8</v>
      </c>
      <c r="K12" s="178" t="s">
        <v>27</v>
      </c>
      <c r="L12" s="180" t="s">
        <v>215</v>
      </c>
      <c r="M12" s="181"/>
      <c r="N12" s="182" t="s">
        <v>8</v>
      </c>
      <c r="O12" s="182" t="s">
        <v>8</v>
      </c>
      <c r="P12" s="182" t="s">
        <v>8</v>
      </c>
      <c r="Q12" s="182"/>
      <c r="R12" s="182"/>
      <c r="S12" s="182"/>
      <c r="T12" s="1"/>
      <c r="U12" s="178" t="s">
        <v>27</v>
      </c>
      <c r="V12" s="180" t="s">
        <v>215</v>
      </c>
      <c r="W12" s="181"/>
      <c r="X12" s="182" t="s">
        <v>8</v>
      </c>
      <c r="Y12" s="182" t="s">
        <v>8</v>
      </c>
      <c r="Z12" s="182" t="s">
        <v>8</v>
      </c>
      <c r="AA12" s="182"/>
      <c r="AB12" s="182"/>
      <c r="AC12" s="182"/>
      <c r="AD12" s="1"/>
      <c r="AE12" s="168" t="s">
        <v>8</v>
      </c>
      <c r="AF12" s="168" t="s">
        <v>8</v>
      </c>
      <c r="AG12" s="168"/>
      <c r="AH12" s="168" t="s">
        <v>8</v>
      </c>
      <c r="AI12" s="168" t="s">
        <v>8</v>
      </c>
      <c r="AJ12" s="168" t="s">
        <v>8</v>
      </c>
      <c r="AK12" s="168"/>
      <c r="AL12" s="168"/>
    </row>
    <row r="13" spans="2:38">
      <c r="B13" s="182"/>
      <c r="C13" s="184" t="s">
        <v>153</v>
      </c>
      <c r="D13" s="180" t="s">
        <v>91</v>
      </c>
      <c r="E13" s="181"/>
      <c r="F13" s="182">
        <v>0</v>
      </c>
      <c r="G13" s="182">
        <v>0</v>
      </c>
      <c r="H13" s="182">
        <v>0</v>
      </c>
      <c r="I13" s="182">
        <v>0</v>
      </c>
      <c r="J13" s="168"/>
      <c r="K13" s="182"/>
      <c r="L13" s="185" t="s">
        <v>153</v>
      </c>
      <c r="M13" s="181" t="s">
        <v>91</v>
      </c>
      <c r="N13" s="182">
        <f>+N11/10</f>
        <v>4783918.5734374998</v>
      </c>
      <c r="O13" s="182">
        <f>+N13</f>
        <v>4783918.5734374998</v>
      </c>
      <c r="P13" s="182">
        <f>+O13</f>
        <v>4783918.5734374998</v>
      </c>
      <c r="Q13" s="182">
        <f>+P13</f>
        <v>4783918.5734374998</v>
      </c>
      <c r="R13" s="182">
        <f>+Q13</f>
        <v>4783918.5734374998</v>
      </c>
      <c r="S13" s="182">
        <f>+R13</f>
        <v>4783918.5734374998</v>
      </c>
      <c r="T13" s="1"/>
      <c r="U13" s="182"/>
      <c r="V13" s="185" t="s">
        <v>153</v>
      </c>
      <c r="W13" s="181" t="s">
        <v>91</v>
      </c>
      <c r="X13" s="182">
        <f>+S13</f>
        <v>4783918.5734374998</v>
      </c>
      <c r="Y13" s="182">
        <f>+X13</f>
        <v>4783918.5734374998</v>
      </c>
      <c r="Z13" s="182">
        <f>+Y13</f>
        <v>4783918.5734374998</v>
      </c>
      <c r="AA13" s="182">
        <v>0</v>
      </c>
      <c r="AB13" s="182">
        <v>0</v>
      </c>
      <c r="AC13" s="182">
        <v>0</v>
      </c>
      <c r="AD13" s="1"/>
      <c r="AE13" s="168" t="s">
        <v>8</v>
      </c>
      <c r="AF13" s="168" t="s">
        <v>8</v>
      </c>
      <c r="AG13" s="168" t="s">
        <v>8</v>
      </c>
      <c r="AH13" s="168" t="s">
        <v>8</v>
      </c>
      <c r="AI13" s="168" t="s">
        <v>8</v>
      </c>
      <c r="AJ13" s="168" t="s">
        <v>8</v>
      </c>
      <c r="AK13" s="168" t="s">
        <v>8</v>
      </c>
      <c r="AL13" s="168" t="s">
        <v>8</v>
      </c>
    </row>
    <row r="14" spans="2:38">
      <c r="B14" s="182"/>
      <c r="C14" s="184" t="s">
        <v>154</v>
      </c>
      <c r="D14" s="180" t="s">
        <v>216</v>
      </c>
      <c r="E14" s="181"/>
      <c r="F14" s="182">
        <v>0</v>
      </c>
      <c r="G14" s="182">
        <v>0</v>
      </c>
      <c r="H14" s="182">
        <v>0</v>
      </c>
      <c r="I14" s="182">
        <v>0</v>
      </c>
      <c r="J14" s="168"/>
      <c r="K14" s="182"/>
      <c r="L14" s="185" t="s">
        <v>154</v>
      </c>
      <c r="M14" s="181" t="s">
        <v>270</v>
      </c>
      <c r="N14" s="182">
        <f t="shared" ref="N14:S14" si="0">0.075*N11</f>
        <v>3587938.9300781251</v>
      </c>
      <c r="O14" s="182">
        <f t="shared" si="0"/>
        <v>3229145.0370703125</v>
      </c>
      <c r="P14" s="182">
        <f t="shared" si="0"/>
        <v>2870351.1440625004</v>
      </c>
      <c r="Q14" s="182">
        <f t="shared" si="0"/>
        <v>2511557.2510546879</v>
      </c>
      <c r="R14" s="182">
        <f t="shared" si="0"/>
        <v>2152763.3580468753</v>
      </c>
      <c r="S14" s="182">
        <f t="shared" si="0"/>
        <v>1793969.4650390628</v>
      </c>
      <c r="T14" s="1"/>
      <c r="U14" s="182"/>
      <c r="V14" s="185" t="s">
        <v>154</v>
      </c>
      <c r="W14" s="181" t="s">
        <v>270</v>
      </c>
      <c r="X14" s="182">
        <f>0.075*X11</f>
        <v>1435175.5720312502</v>
      </c>
      <c r="Y14" s="182">
        <f>0.075*Y11</f>
        <v>1076381.6790234377</v>
      </c>
      <c r="Z14" s="182">
        <f>0.075*Z11</f>
        <v>717587.78601562511</v>
      </c>
      <c r="AA14" s="182">
        <v>0</v>
      </c>
      <c r="AB14" s="182">
        <v>0</v>
      </c>
      <c r="AC14" s="182">
        <v>0</v>
      </c>
      <c r="AD14" s="1"/>
      <c r="AE14" s="168" t="s">
        <v>8</v>
      </c>
      <c r="AF14" s="168" t="s">
        <v>8</v>
      </c>
      <c r="AG14" s="168" t="s">
        <v>8</v>
      </c>
      <c r="AH14" s="168" t="s">
        <v>8</v>
      </c>
      <c r="AI14" s="168" t="s">
        <v>8</v>
      </c>
      <c r="AJ14" s="168" t="s">
        <v>8</v>
      </c>
      <c r="AK14" s="168" t="s">
        <v>8</v>
      </c>
      <c r="AL14" s="168" t="s">
        <v>8</v>
      </c>
    </row>
    <row r="15" spans="2:38">
      <c r="B15" s="182"/>
      <c r="C15" s="179" t="s">
        <v>217</v>
      </c>
      <c r="D15" s="180"/>
      <c r="E15" s="181"/>
      <c r="F15" s="182">
        <v>0</v>
      </c>
      <c r="G15" s="182">
        <v>0</v>
      </c>
      <c r="H15" s="182">
        <v>0</v>
      </c>
      <c r="I15" s="182">
        <v>0</v>
      </c>
      <c r="J15" s="168"/>
      <c r="K15" s="182"/>
      <c r="L15" s="180" t="s">
        <v>217</v>
      </c>
      <c r="M15" s="181"/>
      <c r="N15" s="182">
        <f t="shared" ref="N15:S15" si="1">+N14+N13</f>
        <v>8371857.5035156254</v>
      </c>
      <c r="O15" s="182">
        <f t="shared" si="1"/>
        <v>8013063.6105078124</v>
      </c>
      <c r="P15" s="182">
        <f t="shared" si="1"/>
        <v>7654269.7175000003</v>
      </c>
      <c r="Q15" s="182">
        <f t="shared" si="1"/>
        <v>7295475.8244921882</v>
      </c>
      <c r="R15" s="182">
        <f t="shared" si="1"/>
        <v>6936681.9314843751</v>
      </c>
      <c r="S15" s="182">
        <f t="shared" si="1"/>
        <v>6577888.0384765621</v>
      </c>
      <c r="T15" s="1"/>
      <c r="U15" s="182"/>
      <c r="V15" s="180" t="s">
        <v>217</v>
      </c>
      <c r="W15" s="181"/>
      <c r="X15" s="182">
        <f>+X14+X13</f>
        <v>6219094.14546875</v>
      </c>
      <c r="Y15" s="182">
        <f>+Y14+Y13</f>
        <v>5860300.2524609379</v>
      </c>
      <c r="Z15" s="182">
        <f>+Z14+Z13</f>
        <v>5501506.3594531249</v>
      </c>
      <c r="AA15" s="182">
        <v>0</v>
      </c>
      <c r="AB15" s="182">
        <v>0</v>
      </c>
      <c r="AC15" s="182">
        <v>0</v>
      </c>
      <c r="AD15" s="1"/>
      <c r="AE15" s="168"/>
      <c r="AF15" s="168" t="s">
        <v>8</v>
      </c>
      <c r="AG15" s="168" t="s">
        <v>8</v>
      </c>
      <c r="AH15" s="168" t="s">
        <v>8</v>
      </c>
      <c r="AI15" s="168" t="s">
        <v>8</v>
      </c>
      <c r="AJ15" s="168" t="s">
        <v>8</v>
      </c>
      <c r="AK15" s="168" t="s">
        <v>8</v>
      </c>
      <c r="AL15" s="168" t="s">
        <v>8</v>
      </c>
    </row>
    <row r="16" spans="2:38">
      <c r="B16" s="168" t="s">
        <v>290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"/>
      <c r="U16" s="168"/>
      <c r="V16" s="168"/>
      <c r="W16" s="168"/>
      <c r="X16" s="168"/>
      <c r="Y16" s="168"/>
      <c r="Z16" s="168"/>
      <c r="AA16" s="168"/>
      <c r="AB16" s="168"/>
      <c r="AC16" s="168"/>
      <c r="AD16" s="1"/>
      <c r="AE16" s="168"/>
      <c r="AF16" s="168"/>
      <c r="AG16" s="168"/>
      <c r="AH16" s="168"/>
      <c r="AI16" s="168"/>
      <c r="AJ16" s="168"/>
      <c r="AK16" s="168"/>
      <c r="AL16" s="168"/>
    </row>
    <row r="17" spans="2:38"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"/>
      <c r="U17" s="169"/>
      <c r="V17" s="169"/>
      <c r="W17" s="169"/>
      <c r="X17" s="169"/>
      <c r="Y17" s="169"/>
      <c r="Z17" s="169"/>
      <c r="AA17" s="169"/>
      <c r="AB17" s="169"/>
      <c r="AC17" s="169"/>
      <c r="AD17" s="1"/>
      <c r="AE17" s="169"/>
      <c r="AF17" s="169"/>
      <c r="AG17" s="169"/>
      <c r="AH17" s="169"/>
      <c r="AI17" s="169"/>
      <c r="AJ17" s="169"/>
      <c r="AK17" s="169"/>
      <c r="AL17" s="169"/>
    </row>
    <row r="18" spans="2:38">
      <c r="B18" s="449" t="s">
        <v>328</v>
      </c>
      <c r="C18" s="450"/>
      <c r="D18" s="450"/>
      <c r="E18" s="450"/>
      <c r="F18" s="450"/>
      <c r="G18" s="450"/>
      <c r="H18" s="450"/>
      <c r="I18" s="450"/>
      <c r="J18" s="186"/>
      <c r="K18" s="449" t="s">
        <v>330</v>
      </c>
      <c r="L18" s="450"/>
      <c r="M18" s="450"/>
      <c r="N18" s="450"/>
      <c r="O18" s="450"/>
      <c r="P18" s="450"/>
      <c r="Q18" s="450"/>
      <c r="R18" s="450"/>
      <c r="S18" s="450"/>
      <c r="T18" s="1"/>
      <c r="U18" s="449" t="s">
        <v>332</v>
      </c>
      <c r="V18" s="450"/>
      <c r="W18" s="450"/>
      <c r="X18" s="450"/>
      <c r="Y18" s="450"/>
      <c r="Z18" s="450"/>
      <c r="AA18" s="450"/>
      <c r="AB18" s="450"/>
      <c r="AC18" s="450"/>
      <c r="AD18" s="1"/>
      <c r="AE18" s="449" t="s">
        <v>339</v>
      </c>
      <c r="AF18" s="450"/>
      <c r="AG18" s="450"/>
      <c r="AH18" s="450"/>
      <c r="AI18" s="450"/>
      <c r="AJ18" s="450"/>
      <c r="AK18" s="450"/>
      <c r="AL18" s="450"/>
    </row>
    <row r="19" spans="2:38">
      <c r="B19" s="187"/>
      <c r="C19" s="187"/>
      <c r="D19" s="187"/>
      <c r="E19" s="187"/>
      <c r="F19" s="188"/>
      <c r="G19" s="188"/>
      <c r="H19" s="188"/>
      <c r="I19" s="188"/>
      <c r="J19" s="189"/>
      <c r="K19" s="187"/>
      <c r="L19" s="187"/>
      <c r="M19" s="187"/>
      <c r="N19" s="188"/>
      <c r="O19" s="188"/>
      <c r="P19" s="188"/>
      <c r="Q19" s="188"/>
      <c r="R19" s="188"/>
      <c r="S19" s="188"/>
      <c r="T19" s="1"/>
      <c r="U19" s="187"/>
      <c r="V19" s="187"/>
      <c r="W19" s="187"/>
      <c r="X19" s="188"/>
      <c r="Y19" s="188"/>
      <c r="Z19" s="188"/>
      <c r="AA19" s="188"/>
      <c r="AB19" s="188"/>
      <c r="AC19" s="188"/>
      <c r="AD19" s="1"/>
      <c r="AE19" s="187"/>
      <c r="AF19" s="187"/>
      <c r="AG19" s="187"/>
      <c r="AH19" s="188"/>
      <c r="AI19" s="188"/>
      <c r="AJ19" s="188"/>
      <c r="AK19" s="188"/>
      <c r="AL19" s="188"/>
    </row>
    <row r="20" spans="2:38">
      <c r="B20" s="170" t="s">
        <v>60</v>
      </c>
      <c r="C20" s="451" t="s">
        <v>15</v>
      </c>
      <c r="D20" s="451"/>
      <c r="E20" s="171"/>
      <c r="F20" s="172" t="s">
        <v>195</v>
      </c>
      <c r="G20" s="190" t="s">
        <v>196</v>
      </c>
      <c r="H20" s="190" t="s">
        <v>197</v>
      </c>
      <c r="I20" s="190" t="s">
        <v>198</v>
      </c>
      <c r="J20" s="175"/>
      <c r="K20" s="170" t="s">
        <v>60</v>
      </c>
      <c r="L20" s="451" t="s">
        <v>15</v>
      </c>
      <c r="M20" s="452"/>
      <c r="N20" s="172" t="s">
        <v>199</v>
      </c>
      <c r="O20" s="173" t="s">
        <v>200</v>
      </c>
      <c r="P20" s="173" t="s">
        <v>201</v>
      </c>
      <c r="Q20" s="173" t="s">
        <v>202</v>
      </c>
      <c r="R20" s="173" t="s">
        <v>203</v>
      </c>
      <c r="S20" s="174" t="s">
        <v>204</v>
      </c>
      <c r="T20" s="1"/>
      <c r="U20" s="170" t="s">
        <v>60</v>
      </c>
      <c r="V20" s="451" t="s">
        <v>15</v>
      </c>
      <c r="W20" s="452"/>
      <c r="X20" s="172" t="s">
        <v>205</v>
      </c>
      <c r="Y20" s="173" t="s">
        <v>206</v>
      </c>
      <c r="Z20" s="173" t="s">
        <v>207</v>
      </c>
      <c r="AA20" s="173" t="s">
        <v>208</v>
      </c>
      <c r="AB20" s="173" t="s">
        <v>209</v>
      </c>
      <c r="AC20" s="174" t="s">
        <v>210</v>
      </c>
      <c r="AD20" s="1"/>
      <c r="AE20" s="170" t="s">
        <v>60</v>
      </c>
      <c r="AF20" s="451" t="s">
        <v>15</v>
      </c>
      <c r="AG20" s="452"/>
      <c r="AH20" s="172" t="s">
        <v>218</v>
      </c>
      <c r="AI20" s="173" t="s">
        <v>219</v>
      </c>
      <c r="AJ20" s="173" t="s">
        <v>220</v>
      </c>
      <c r="AK20" s="173" t="s">
        <v>221</v>
      </c>
      <c r="AL20" s="173" t="s">
        <v>222</v>
      </c>
    </row>
    <row r="21" spans="2:38">
      <c r="B21" s="191" t="s">
        <v>223</v>
      </c>
      <c r="C21" s="192" t="s">
        <v>224</v>
      </c>
      <c r="D21" s="193"/>
      <c r="E21" s="194"/>
      <c r="F21" s="195">
        <v>0</v>
      </c>
      <c r="G21" s="195">
        <v>0</v>
      </c>
      <c r="H21" s="195">
        <v>0</v>
      </c>
      <c r="I21" s="195">
        <v>0</v>
      </c>
      <c r="J21" s="196"/>
      <c r="K21" s="191" t="s">
        <v>223</v>
      </c>
      <c r="L21" s="192" t="s">
        <v>224</v>
      </c>
      <c r="M21" s="194"/>
      <c r="N21" s="391">
        <f t="shared" ref="N21:S21" si="2">+N22*N23</f>
        <v>37500000</v>
      </c>
      <c r="O21" s="195">
        <f t="shared" si="2"/>
        <v>41250000</v>
      </c>
      <c r="P21" s="195">
        <f t="shared" si="2"/>
        <v>45000000</v>
      </c>
      <c r="Q21" s="195">
        <f t="shared" si="2"/>
        <v>60000000</v>
      </c>
      <c r="R21" s="195">
        <f t="shared" si="2"/>
        <v>67500000</v>
      </c>
      <c r="S21" s="195">
        <f t="shared" si="2"/>
        <v>75000000</v>
      </c>
      <c r="T21" s="1"/>
      <c r="U21" s="191" t="s">
        <v>223</v>
      </c>
      <c r="V21" s="192" t="s">
        <v>224</v>
      </c>
      <c r="W21" s="194"/>
      <c r="X21" s="391">
        <f t="shared" ref="X21:AC21" si="3">+X22*X23</f>
        <v>82500000</v>
      </c>
      <c r="Y21" s="195">
        <f t="shared" si="3"/>
        <v>90000000</v>
      </c>
      <c r="Z21" s="195">
        <f t="shared" si="3"/>
        <v>97500000</v>
      </c>
      <c r="AA21" s="195">
        <f t="shared" si="3"/>
        <v>90000000</v>
      </c>
      <c r="AB21" s="195">
        <f t="shared" si="3"/>
        <v>82500000</v>
      </c>
      <c r="AC21" s="195">
        <f t="shared" si="3"/>
        <v>67500000</v>
      </c>
      <c r="AD21" s="1"/>
      <c r="AE21" s="191" t="s">
        <v>223</v>
      </c>
      <c r="AF21" s="192" t="s">
        <v>224</v>
      </c>
      <c r="AG21" s="194"/>
      <c r="AH21" s="391">
        <f t="shared" ref="AH21:AL21" si="4">+AH22*AH23</f>
        <v>52500000</v>
      </c>
      <c r="AI21" s="195">
        <f t="shared" si="4"/>
        <v>37500000</v>
      </c>
      <c r="AJ21" s="195">
        <f t="shared" si="4"/>
        <v>90000000</v>
      </c>
      <c r="AK21" s="195">
        <f t="shared" si="4"/>
        <v>75000000</v>
      </c>
      <c r="AL21" s="195">
        <f t="shared" si="4"/>
        <v>67500000</v>
      </c>
    </row>
    <row r="22" spans="2:38">
      <c r="B22" s="197"/>
      <c r="C22" s="198" t="s">
        <v>63</v>
      </c>
      <c r="D22" s="199" t="s">
        <v>338</v>
      </c>
      <c r="E22" s="200"/>
      <c r="F22" s="197">
        <v>0</v>
      </c>
      <c r="G22" s="197">
        <v>0</v>
      </c>
      <c r="H22" s="197">
        <v>0</v>
      </c>
      <c r="I22" s="197">
        <v>0</v>
      </c>
      <c r="J22" s="196"/>
      <c r="K22" s="197"/>
      <c r="L22" s="198" t="s">
        <v>63</v>
      </c>
      <c r="M22" s="199" t="s">
        <v>338</v>
      </c>
      <c r="N22" s="392">
        <f>+'Tabel Lampiran 1'!E10</f>
        <v>500</v>
      </c>
      <c r="O22" s="390">
        <f>+'Tabel Lampiran 1'!F10</f>
        <v>550</v>
      </c>
      <c r="P22" s="197">
        <f>+'Tabel Lampiran 1'!G10</f>
        <v>600</v>
      </c>
      <c r="Q22" s="197">
        <f>+'Tabel Lampiran 1'!H10</f>
        <v>800</v>
      </c>
      <c r="R22" s="197">
        <f>+'Tabel Lampiran 1'!I10</f>
        <v>900</v>
      </c>
      <c r="S22" s="197">
        <f>+'Tabel Lampiran 1'!J10</f>
        <v>1000</v>
      </c>
      <c r="T22" s="1"/>
      <c r="U22" s="197"/>
      <c r="V22" s="198" t="s">
        <v>63</v>
      </c>
      <c r="W22" s="199" t="s">
        <v>338</v>
      </c>
      <c r="X22" s="390">
        <f>+'Tabel Lampiran 1'!K10</f>
        <v>1100</v>
      </c>
      <c r="Y22" s="390">
        <f>+'Tabel Lampiran 1'!E20</f>
        <v>1200</v>
      </c>
      <c r="Z22" s="197">
        <f>+'Tabel Lampiran 1'!F20</f>
        <v>1300</v>
      </c>
      <c r="AA22" s="197">
        <f>+'Tabel Lampiran 1'!G20</f>
        <v>1200</v>
      </c>
      <c r="AB22" s="197">
        <f>+'Tabel Lampiran 1'!H20</f>
        <v>1100</v>
      </c>
      <c r="AC22" s="197">
        <f>+'Tabel Lampiran 1'!I20</f>
        <v>900</v>
      </c>
      <c r="AD22" s="1"/>
      <c r="AE22" s="197"/>
      <c r="AF22" s="198" t="s">
        <v>63</v>
      </c>
      <c r="AG22" s="199" t="s">
        <v>338</v>
      </c>
      <c r="AH22" s="392">
        <f>+'Tabel Lampiran 1'!J20</f>
        <v>700</v>
      </c>
      <c r="AI22" s="390">
        <f>+'Tabel Lampiran 1'!K20</f>
        <v>500</v>
      </c>
      <c r="AJ22" s="197">
        <f>+'Tabel Lampiran 1'!E28</f>
        <v>1200</v>
      </c>
      <c r="AK22" s="197">
        <f>+'Tabel Lampiran 1'!F28</f>
        <v>1000</v>
      </c>
      <c r="AL22" s="197">
        <f>+'Tabel Lampiran 1'!G28</f>
        <v>900</v>
      </c>
    </row>
    <row r="23" spans="2:38">
      <c r="B23" s="197"/>
      <c r="C23" s="198" t="s">
        <v>225</v>
      </c>
      <c r="D23" s="199" t="s">
        <v>337</v>
      </c>
      <c r="E23" s="200"/>
      <c r="F23" s="197">
        <v>0</v>
      </c>
      <c r="G23" s="197">
        <v>0</v>
      </c>
      <c r="H23" s="197">
        <v>0</v>
      </c>
      <c r="I23" s="197">
        <v>0</v>
      </c>
      <c r="J23" s="196"/>
      <c r="K23" s="197"/>
      <c r="L23" s="198" t="s">
        <v>225</v>
      </c>
      <c r="M23" s="199" t="s">
        <v>337</v>
      </c>
      <c r="N23" s="393">
        <f>+'Tabel Lampiran 1'!E11</f>
        <v>75000</v>
      </c>
      <c r="O23" s="390">
        <f>+N23</f>
        <v>75000</v>
      </c>
      <c r="P23" s="197">
        <f>+O23</f>
        <v>75000</v>
      </c>
      <c r="Q23" s="197">
        <f>+P23</f>
        <v>75000</v>
      </c>
      <c r="R23" s="197">
        <f>+Q23</f>
        <v>75000</v>
      </c>
      <c r="S23" s="197">
        <f>+R23</f>
        <v>75000</v>
      </c>
      <c r="T23" s="1"/>
      <c r="U23" s="197"/>
      <c r="V23" s="198" t="s">
        <v>225</v>
      </c>
      <c r="W23" s="199" t="s">
        <v>337</v>
      </c>
      <c r="X23" s="393">
        <f>+S23</f>
        <v>75000</v>
      </c>
      <c r="Y23" s="390">
        <f>+S23</f>
        <v>75000</v>
      </c>
      <c r="Z23" s="197">
        <f>+S23</f>
        <v>75000</v>
      </c>
      <c r="AA23" s="197">
        <f>+Z23</f>
        <v>75000</v>
      </c>
      <c r="AB23" s="197">
        <f>+AA23</f>
        <v>75000</v>
      </c>
      <c r="AC23" s="197">
        <f>+AB23</f>
        <v>75000</v>
      </c>
      <c r="AD23" s="1"/>
      <c r="AE23" s="197"/>
      <c r="AF23" s="198" t="s">
        <v>225</v>
      </c>
      <c r="AG23" s="199" t="s">
        <v>337</v>
      </c>
      <c r="AH23" s="393">
        <f>+AC23</f>
        <v>75000</v>
      </c>
      <c r="AI23" s="390">
        <f>+AH23</f>
        <v>75000</v>
      </c>
      <c r="AJ23" s="197">
        <f>+AI23</f>
        <v>75000</v>
      </c>
      <c r="AK23" s="197">
        <f>+AJ23</f>
        <v>75000</v>
      </c>
      <c r="AL23" s="197">
        <f>+AK23</f>
        <v>75000</v>
      </c>
    </row>
    <row r="24" spans="2:38">
      <c r="B24" s="195" t="s">
        <v>226</v>
      </c>
      <c r="C24" s="192" t="s">
        <v>227</v>
      </c>
      <c r="D24" s="193"/>
      <c r="E24" s="194"/>
      <c r="F24" s="195">
        <f>SUM(F25:F33)</f>
        <v>38850000</v>
      </c>
      <c r="G24" s="195">
        <f>+G25+G26+G27+G28</f>
        <v>6616250</v>
      </c>
      <c r="H24" s="195">
        <f>+H25+H26+H27+H28</f>
        <v>3693750</v>
      </c>
      <c r="I24" s="195">
        <f>+I25+I26+I27+I28</f>
        <v>3693750</v>
      </c>
      <c r="J24" s="196"/>
      <c r="K24" s="195" t="s">
        <v>226</v>
      </c>
      <c r="L24" s="192" t="s">
        <v>227</v>
      </c>
      <c r="M24" s="194"/>
      <c r="N24" s="228">
        <f t="shared" ref="N24:S24" si="5">+N28</f>
        <v>3724500</v>
      </c>
      <c r="O24" s="195">
        <f t="shared" si="5"/>
        <v>3974500</v>
      </c>
      <c r="P24" s="195">
        <f t="shared" si="5"/>
        <v>3724500</v>
      </c>
      <c r="Q24" s="195">
        <f t="shared" si="5"/>
        <v>3974500</v>
      </c>
      <c r="R24" s="195">
        <f t="shared" si="5"/>
        <v>3724500</v>
      </c>
      <c r="S24" s="195">
        <f t="shared" si="5"/>
        <v>3974500</v>
      </c>
      <c r="T24" s="1"/>
      <c r="U24" s="195" t="s">
        <v>226</v>
      </c>
      <c r="V24" s="192" t="s">
        <v>227</v>
      </c>
      <c r="W24" s="194"/>
      <c r="X24" s="228">
        <f t="shared" ref="X24:AC24" si="6">+X28</f>
        <v>3724500</v>
      </c>
      <c r="Y24" s="195">
        <f t="shared" si="6"/>
        <v>3974500</v>
      </c>
      <c r="Z24" s="195">
        <f t="shared" si="6"/>
        <v>3724500</v>
      </c>
      <c r="AA24" s="195">
        <f t="shared" si="6"/>
        <v>3974500</v>
      </c>
      <c r="AB24" s="195">
        <f t="shared" si="6"/>
        <v>3350500</v>
      </c>
      <c r="AC24" s="195">
        <f t="shared" si="6"/>
        <v>3600500</v>
      </c>
      <c r="AD24" s="1"/>
      <c r="AE24" s="195" t="s">
        <v>226</v>
      </c>
      <c r="AF24" s="192" t="s">
        <v>227</v>
      </c>
      <c r="AG24" s="194"/>
      <c r="AH24" s="228">
        <f t="shared" ref="AH24:AL24" si="7">+AH28</f>
        <v>3350500</v>
      </c>
      <c r="AI24" s="195">
        <f t="shared" si="7"/>
        <v>3600500</v>
      </c>
      <c r="AJ24" s="195">
        <f t="shared" si="7"/>
        <v>3350500</v>
      </c>
      <c r="AK24" s="195">
        <f t="shared" si="7"/>
        <v>3600500</v>
      </c>
      <c r="AL24" s="195">
        <f t="shared" si="7"/>
        <v>3350500</v>
      </c>
    </row>
    <row r="25" spans="2:38">
      <c r="B25" s="197"/>
      <c r="C25" s="198" t="s">
        <v>63</v>
      </c>
      <c r="D25" s="199" t="s">
        <v>228</v>
      </c>
      <c r="E25" s="200"/>
      <c r="F25" s="197">
        <f>+'Tabel Lampiran 4'!I10</f>
        <v>6000000</v>
      </c>
      <c r="G25" s="197">
        <v>0</v>
      </c>
      <c r="H25" s="197">
        <v>0</v>
      </c>
      <c r="I25" s="197">
        <v>0</v>
      </c>
      <c r="J25" s="196"/>
      <c r="K25" s="197"/>
      <c r="L25" s="198" t="s">
        <v>63</v>
      </c>
      <c r="M25" s="200" t="s">
        <v>228</v>
      </c>
      <c r="N25" s="197">
        <f>+'[1]Biaya (2)'!S13</f>
        <v>0</v>
      </c>
      <c r="O25" s="197">
        <v>0</v>
      </c>
      <c r="P25" s="197">
        <v>0</v>
      </c>
      <c r="Q25" s="197">
        <v>0</v>
      </c>
      <c r="R25" s="197">
        <f>+Q25</f>
        <v>0</v>
      </c>
      <c r="S25" s="197">
        <v>0</v>
      </c>
      <c r="T25" s="1"/>
      <c r="U25" s="197"/>
      <c r="V25" s="198" t="s">
        <v>63</v>
      </c>
      <c r="W25" s="200" t="s">
        <v>228</v>
      </c>
      <c r="X25" s="197">
        <f>+'[1]Biaya (2)'!AC13</f>
        <v>0</v>
      </c>
      <c r="Y25" s="197">
        <v>0</v>
      </c>
      <c r="Z25" s="197">
        <v>0</v>
      </c>
      <c r="AA25" s="197">
        <v>0</v>
      </c>
      <c r="AB25" s="197">
        <f>+AA25</f>
        <v>0</v>
      </c>
      <c r="AC25" s="197">
        <v>0</v>
      </c>
      <c r="AD25" s="1"/>
      <c r="AE25" s="197"/>
      <c r="AF25" s="198" t="s">
        <v>63</v>
      </c>
      <c r="AG25" s="200" t="s">
        <v>228</v>
      </c>
      <c r="AH25" s="197">
        <f>+'[1]Biaya (2)'!AM13</f>
        <v>0</v>
      </c>
      <c r="AI25" s="197">
        <v>0</v>
      </c>
      <c r="AJ25" s="197">
        <v>0</v>
      </c>
      <c r="AK25" s="197">
        <v>0</v>
      </c>
      <c r="AL25" s="197">
        <f>+AK25</f>
        <v>0</v>
      </c>
    </row>
    <row r="26" spans="2:38">
      <c r="B26" s="197"/>
      <c r="C26" s="198" t="s">
        <v>225</v>
      </c>
      <c r="D26" s="199" t="s">
        <v>229</v>
      </c>
      <c r="E26" s="200"/>
      <c r="F26" s="197">
        <f>+'Tabel Lampiran 4'!I11</f>
        <v>12200000</v>
      </c>
      <c r="G26" s="197">
        <v>0</v>
      </c>
      <c r="H26" s="197">
        <v>0</v>
      </c>
      <c r="I26" s="197">
        <v>0</v>
      </c>
      <c r="J26" s="196"/>
      <c r="K26" s="197"/>
      <c r="L26" s="198" t="s">
        <v>225</v>
      </c>
      <c r="M26" s="200" t="s">
        <v>229</v>
      </c>
      <c r="N26" s="197">
        <f>+'[1]Biaya (2)'!S14</f>
        <v>0</v>
      </c>
      <c r="O26" s="197">
        <v>0</v>
      </c>
      <c r="P26" s="197">
        <v>0</v>
      </c>
      <c r="Q26" s="197">
        <v>0</v>
      </c>
      <c r="R26" s="197">
        <f>+Q26</f>
        <v>0</v>
      </c>
      <c r="S26" s="197">
        <v>0</v>
      </c>
      <c r="T26" s="1"/>
      <c r="U26" s="197"/>
      <c r="V26" s="198" t="s">
        <v>225</v>
      </c>
      <c r="W26" s="200" t="s">
        <v>229</v>
      </c>
      <c r="X26" s="197">
        <f>+'[1]Biaya (2)'!AC14</f>
        <v>0</v>
      </c>
      <c r="Y26" s="197">
        <v>0</v>
      </c>
      <c r="Z26" s="197">
        <v>0</v>
      </c>
      <c r="AA26" s="197">
        <v>0</v>
      </c>
      <c r="AB26" s="197">
        <f>+AA26</f>
        <v>0</v>
      </c>
      <c r="AC26" s="197">
        <v>0</v>
      </c>
      <c r="AD26" s="1"/>
      <c r="AE26" s="197"/>
      <c r="AF26" s="198" t="s">
        <v>225</v>
      </c>
      <c r="AG26" s="200" t="s">
        <v>229</v>
      </c>
      <c r="AH26" s="197">
        <f>+'[1]Biaya (2)'!AM14</f>
        <v>0</v>
      </c>
      <c r="AI26" s="197">
        <v>0</v>
      </c>
      <c r="AJ26" s="197">
        <v>0</v>
      </c>
      <c r="AK26" s="197">
        <v>0</v>
      </c>
      <c r="AL26" s="197">
        <f>+AK26</f>
        <v>0</v>
      </c>
    </row>
    <row r="27" spans="2:38">
      <c r="B27" s="197"/>
      <c r="C27" s="198" t="s">
        <v>230</v>
      </c>
      <c r="D27" s="199" t="s">
        <v>79</v>
      </c>
      <c r="E27" s="200"/>
      <c r="F27" s="197">
        <f>+'Tabel Lampiran 4'!I17</f>
        <v>20650000</v>
      </c>
      <c r="G27" s="197">
        <v>0</v>
      </c>
      <c r="H27" s="197">
        <f>+G27</f>
        <v>0</v>
      </c>
      <c r="I27" s="197">
        <f>+H27</f>
        <v>0</v>
      </c>
      <c r="J27" s="196"/>
      <c r="K27" s="197"/>
      <c r="L27" s="198" t="s">
        <v>230</v>
      </c>
      <c r="M27" s="200" t="s">
        <v>79</v>
      </c>
      <c r="N27" s="197">
        <f>+'[1]Biaya (2)'!S20</f>
        <v>0</v>
      </c>
      <c r="O27" s="197">
        <v>0</v>
      </c>
      <c r="P27" s="197">
        <f>+O27</f>
        <v>0</v>
      </c>
      <c r="Q27" s="197">
        <f>+P27</f>
        <v>0</v>
      </c>
      <c r="R27" s="197">
        <f>+Q27</f>
        <v>0</v>
      </c>
      <c r="S27" s="197">
        <v>0</v>
      </c>
      <c r="T27" s="1"/>
      <c r="U27" s="197"/>
      <c r="V27" s="198" t="s">
        <v>230</v>
      </c>
      <c r="W27" s="200" t="s">
        <v>79</v>
      </c>
      <c r="X27" s="197">
        <f>+'[1]Biaya (2)'!AC20</f>
        <v>0</v>
      </c>
      <c r="Y27" s="197">
        <v>0</v>
      </c>
      <c r="Z27" s="197">
        <f>+Y27</f>
        <v>0</v>
      </c>
      <c r="AA27" s="197">
        <f>+Z27</f>
        <v>0</v>
      </c>
      <c r="AB27" s="197">
        <f>+AA27</f>
        <v>0</v>
      </c>
      <c r="AC27" s="197">
        <v>0</v>
      </c>
      <c r="AD27" s="1"/>
      <c r="AE27" s="197"/>
      <c r="AF27" s="198" t="s">
        <v>230</v>
      </c>
      <c r="AG27" s="200" t="s">
        <v>79</v>
      </c>
      <c r="AH27" s="197">
        <f>+'[1]Biaya (2)'!AM20</f>
        <v>0</v>
      </c>
      <c r="AI27" s="197">
        <v>0</v>
      </c>
      <c r="AJ27" s="197">
        <f>+AI27</f>
        <v>0</v>
      </c>
      <c r="AK27" s="197">
        <f>+AJ27</f>
        <v>0</v>
      </c>
      <c r="AL27" s="197">
        <f>+AK27</f>
        <v>0</v>
      </c>
    </row>
    <row r="28" spans="2:38">
      <c r="B28" s="197"/>
      <c r="C28" s="198" t="s">
        <v>58</v>
      </c>
      <c r="D28" s="199" t="s">
        <v>231</v>
      </c>
      <c r="E28" s="200"/>
      <c r="F28" s="197">
        <f>+F29+F30+F31+F32+F33</f>
        <v>0</v>
      </c>
      <c r="G28" s="197">
        <f>+G29+G30+G31+G32+G33</f>
        <v>6616250</v>
      </c>
      <c r="H28" s="197">
        <f>+H29+H30+H31+H32+H33</f>
        <v>3693750</v>
      </c>
      <c r="I28" s="197">
        <f>+I29+I30+I31+I32+I33</f>
        <v>3693750</v>
      </c>
      <c r="J28" s="196"/>
      <c r="K28" s="197"/>
      <c r="L28" s="198" t="s">
        <v>58</v>
      </c>
      <c r="M28" s="200" t="s">
        <v>231</v>
      </c>
      <c r="N28" s="197">
        <f>SUM(N29:N33)</f>
        <v>3724500</v>
      </c>
      <c r="O28" s="197">
        <f t="shared" ref="O28:S28" si="8">SUM(O29:O33)</f>
        <v>3974500</v>
      </c>
      <c r="P28" s="197">
        <f t="shared" si="8"/>
        <v>3724500</v>
      </c>
      <c r="Q28" s="197">
        <f t="shared" si="8"/>
        <v>3974500</v>
      </c>
      <c r="R28" s="197">
        <f t="shared" si="8"/>
        <v>3724500</v>
      </c>
      <c r="S28" s="197">
        <f t="shared" si="8"/>
        <v>3974500</v>
      </c>
      <c r="T28" s="1"/>
      <c r="U28" s="197"/>
      <c r="V28" s="198" t="s">
        <v>58</v>
      </c>
      <c r="W28" s="200" t="s">
        <v>231</v>
      </c>
      <c r="X28" s="197">
        <f>SUM(X29:X33)</f>
        <v>3724500</v>
      </c>
      <c r="Y28" s="197">
        <f t="shared" ref="Y28:AC28" si="9">SUM(Y29:Y33)</f>
        <v>3974500</v>
      </c>
      <c r="Z28" s="197">
        <f t="shared" si="9"/>
        <v>3724500</v>
      </c>
      <c r="AA28" s="197">
        <f t="shared" si="9"/>
        <v>3974500</v>
      </c>
      <c r="AB28" s="197">
        <f t="shared" si="9"/>
        <v>3350500</v>
      </c>
      <c r="AC28" s="197">
        <f t="shared" si="9"/>
        <v>3600500</v>
      </c>
      <c r="AD28" s="1"/>
      <c r="AE28" s="197"/>
      <c r="AF28" s="198" t="s">
        <v>58</v>
      </c>
      <c r="AG28" s="200" t="s">
        <v>231</v>
      </c>
      <c r="AH28" s="197">
        <f>SUM(AH29:AH33)</f>
        <v>3350500</v>
      </c>
      <c r="AI28" s="197">
        <f t="shared" ref="AI28:AL28" si="10">SUM(AI29:AI33)</f>
        <v>3600500</v>
      </c>
      <c r="AJ28" s="197">
        <f t="shared" si="10"/>
        <v>3350500</v>
      </c>
      <c r="AK28" s="197">
        <f t="shared" si="10"/>
        <v>3600500</v>
      </c>
      <c r="AL28" s="197">
        <f t="shared" si="10"/>
        <v>3350500</v>
      </c>
    </row>
    <row r="29" spans="2:38">
      <c r="B29" s="201"/>
      <c r="C29" s="198"/>
      <c r="D29" s="199" t="s">
        <v>232</v>
      </c>
      <c r="E29" s="202"/>
      <c r="F29" s="203">
        <v>0</v>
      </c>
      <c r="G29" s="203">
        <f>+'Tabel Lampiran 4'!I37</f>
        <v>1800000</v>
      </c>
      <c r="H29" s="203">
        <f>+'Tabel Lampiran 4'!K37</f>
        <v>1112500</v>
      </c>
      <c r="I29" s="203">
        <f>+'Tabel Lampiran 4'!M37</f>
        <v>1112500</v>
      </c>
      <c r="J29" s="196"/>
      <c r="K29" s="201"/>
      <c r="L29" s="198"/>
      <c r="M29" s="200" t="s">
        <v>232</v>
      </c>
      <c r="N29" s="203">
        <f>+'Tabel Lampiran 5'!I15</f>
        <v>750000</v>
      </c>
      <c r="O29" s="203">
        <f>+'Tabel Lampiran 5'!K15</f>
        <v>1000000</v>
      </c>
      <c r="P29" s="203">
        <f>+'Tabel Lampiran 5'!M15</f>
        <v>750000</v>
      </c>
      <c r="Q29" s="203">
        <f>+'Tabel Lampiran 5'!H38</f>
        <v>1000000</v>
      </c>
      <c r="R29" s="203">
        <f>+'Tabel Lampiran 5'!J38</f>
        <v>750000</v>
      </c>
      <c r="S29" s="203">
        <f>+'Tabel Lampiran 5'!L38</f>
        <v>1000000</v>
      </c>
      <c r="T29" s="1"/>
      <c r="U29" s="201"/>
      <c r="V29" s="198"/>
      <c r="W29" s="200" t="s">
        <v>232</v>
      </c>
      <c r="X29" s="203">
        <f>+'Tabel Lampiran 5'!H62</f>
        <v>750000</v>
      </c>
      <c r="Y29" s="203">
        <f>+'Tabel Lampiran 5'!J62</f>
        <v>1000000</v>
      </c>
      <c r="Z29" s="203">
        <f>+'Tabel Lampiran 5'!L62</f>
        <v>750000</v>
      </c>
      <c r="AA29" s="203">
        <f>+'Tabel Lampiran 5'!H86</f>
        <v>1000000</v>
      </c>
      <c r="AB29" s="203">
        <f>+'Tabel Lampiran 5'!J86</f>
        <v>750000</v>
      </c>
      <c r="AC29" s="203">
        <f>+'Tabel Lampiran 5'!L86</f>
        <v>1000000</v>
      </c>
      <c r="AD29" s="1"/>
      <c r="AE29" s="201"/>
      <c r="AF29" s="198"/>
      <c r="AG29" s="200" t="s">
        <v>232</v>
      </c>
      <c r="AH29" s="203">
        <f>+'Tabel Lampiran 5'!H110</f>
        <v>750000</v>
      </c>
      <c r="AI29" s="203">
        <f>+'Tabel Lampiran 5'!J110</f>
        <v>1000000</v>
      </c>
      <c r="AJ29" s="203">
        <f>+'Tabel Lampiran 5'!L110</f>
        <v>750000</v>
      </c>
      <c r="AK29" s="203">
        <f>+'Tabel Lampiran 5'!H134</f>
        <v>1000000</v>
      </c>
      <c r="AL29" s="203">
        <f>+'Tabel Lampiran 5'!J134</f>
        <v>750000</v>
      </c>
    </row>
    <row r="30" spans="2:38">
      <c r="B30" s="201"/>
      <c r="C30" s="198"/>
      <c r="D30" s="199" t="s">
        <v>233</v>
      </c>
      <c r="E30" s="202"/>
      <c r="F30" s="203">
        <v>0</v>
      </c>
      <c r="G30" s="203">
        <f>+'Tabel Lampiran 4'!I43</f>
        <v>630000</v>
      </c>
      <c r="H30" s="203">
        <f>+'Tabel Lampiran 4'!K43</f>
        <v>300000</v>
      </c>
      <c r="I30" s="203">
        <f>+'Tabel Lampiran 4'!M43</f>
        <v>300000</v>
      </c>
      <c r="J30" s="196"/>
      <c r="K30" s="201"/>
      <c r="L30" s="198"/>
      <c r="M30" s="200" t="s">
        <v>233</v>
      </c>
      <c r="N30" s="203">
        <v>0</v>
      </c>
      <c r="O30" s="203">
        <f>+'[1]Biaya (2)'!U50</f>
        <v>0</v>
      </c>
      <c r="P30" s="203">
        <f>+'[1]Biaya (2)'!W50</f>
        <v>0</v>
      </c>
      <c r="Q30" s="203">
        <f>+'[1]Biaya (2)'!S79</f>
        <v>0</v>
      </c>
      <c r="R30" s="203">
        <f>+'[1]Biaya (2)'!U79</f>
        <v>0</v>
      </c>
      <c r="S30" s="203">
        <f>+'[1]Biaya (2)'!W79</f>
        <v>0</v>
      </c>
      <c r="T30" s="1"/>
      <c r="U30" s="201"/>
      <c r="V30" s="198"/>
      <c r="W30" s="200" t="s">
        <v>233</v>
      </c>
      <c r="X30" s="203">
        <v>0</v>
      </c>
      <c r="Y30" s="203">
        <f>+'[1]Biaya (2)'!AE50</f>
        <v>0</v>
      </c>
      <c r="Z30" s="203">
        <f>+'[1]Biaya (2)'!AG50</f>
        <v>0</v>
      </c>
      <c r="AA30" s="203">
        <f>+'[1]Biaya (2)'!AC79</f>
        <v>0</v>
      </c>
      <c r="AB30" s="203">
        <f>+'[1]Biaya (2)'!AE79</f>
        <v>0</v>
      </c>
      <c r="AC30" s="203">
        <f>+'[1]Biaya (2)'!AG79</f>
        <v>0</v>
      </c>
      <c r="AD30" s="1"/>
      <c r="AE30" s="201"/>
      <c r="AF30" s="198"/>
      <c r="AG30" s="200" t="s">
        <v>233</v>
      </c>
      <c r="AH30" s="203">
        <v>0</v>
      </c>
      <c r="AI30" s="203">
        <f>+'[1]Biaya (2)'!AO50</f>
        <v>0</v>
      </c>
      <c r="AJ30" s="203">
        <f>+'[1]Biaya (2)'!AQ50</f>
        <v>0</v>
      </c>
      <c r="AK30" s="203">
        <f>+'[1]Biaya (2)'!AM79</f>
        <v>0</v>
      </c>
      <c r="AL30" s="203">
        <f>+'[1]Biaya (2)'!AO79</f>
        <v>0</v>
      </c>
    </row>
    <row r="31" spans="2:38">
      <c r="B31" s="201"/>
      <c r="C31" s="198"/>
      <c r="D31" s="199" t="s">
        <v>80</v>
      </c>
      <c r="E31" s="202"/>
      <c r="F31" s="203">
        <v>0</v>
      </c>
      <c r="G31" s="203">
        <f>+'Tabel Lampiran 4'!I46</f>
        <v>1686250</v>
      </c>
      <c r="H31" s="203">
        <f>+'Tabel Lampiran 4'!K46</f>
        <v>2181250</v>
      </c>
      <c r="I31" s="203">
        <f>+'Tabel Lampiran 4'!M46</f>
        <v>2181250</v>
      </c>
      <c r="J31" s="196"/>
      <c r="K31" s="201"/>
      <c r="L31" s="198"/>
      <c r="M31" s="200" t="s">
        <v>80</v>
      </c>
      <c r="N31" s="203">
        <f>+'Tabel Lampiran 5'!I22</f>
        <v>2574500</v>
      </c>
      <c r="O31" s="203">
        <f>+'Tabel Lampiran 5'!K22</f>
        <v>2574500</v>
      </c>
      <c r="P31" s="203">
        <f>+'Tabel Lampiran 5'!M22</f>
        <v>2574500</v>
      </c>
      <c r="Q31" s="203">
        <f>+'Tabel Lampiran 5'!H45</f>
        <v>2574500</v>
      </c>
      <c r="R31" s="203">
        <f>+'Tabel Lampiran 5'!J45</f>
        <v>2574500</v>
      </c>
      <c r="S31" s="203">
        <f>+'Tabel Lampiran 5'!L45</f>
        <v>2574500</v>
      </c>
      <c r="T31" s="1"/>
      <c r="U31" s="201"/>
      <c r="V31" s="198"/>
      <c r="W31" s="200" t="s">
        <v>80</v>
      </c>
      <c r="X31" s="203">
        <f>+'Tabel Lampiran 5'!H69</f>
        <v>2574500</v>
      </c>
      <c r="Y31" s="203">
        <f>+'Tabel Lampiran 5'!J69</f>
        <v>2574500</v>
      </c>
      <c r="Z31" s="203">
        <f>+'Tabel Lampiran 5'!L69</f>
        <v>2574500</v>
      </c>
      <c r="AA31" s="203">
        <f>+'Tabel Lampiran 5'!H93</f>
        <v>2574500</v>
      </c>
      <c r="AB31" s="203">
        <f>+'Tabel Lampiran 5'!J93</f>
        <v>2200500</v>
      </c>
      <c r="AC31" s="203">
        <f>+'Tabel Lampiran 5'!L93</f>
        <v>2200500</v>
      </c>
      <c r="AD31" s="1"/>
      <c r="AE31" s="201"/>
      <c r="AF31" s="198"/>
      <c r="AG31" s="200" t="s">
        <v>80</v>
      </c>
      <c r="AH31" s="203">
        <f>+'Tabel Lampiran 5'!H117</f>
        <v>2200500</v>
      </c>
      <c r="AI31" s="203">
        <f>+'Tabel Lampiran 5'!J117</f>
        <v>2200500</v>
      </c>
      <c r="AJ31" s="203">
        <f>+'Tabel Lampiran 5'!L117</f>
        <v>2200500</v>
      </c>
      <c r="AK31" s="203">
        <f>+'Tabel Lampiran 5'!H141</f>
        <v>2200500</v>
      </c>
      <c r="AL31" s="203">
        <f>+'Tabel Lampiran 5'!J141</f>
        <v>2200500</v>
      </c>
    </row>
    <row r="32" spans="2:38">
      <c r="B32" s="201"/>
      <c r="C32" s="198"/>
      <c r="D32" s="199" t="s">
        <v>234</v>
      </c>
      <c r="E32" s="202"/>
      <c r="F32" s="203">
        <v>0</v>
      </c>
      <c r="G32" s="203">
        <f>+'Tabel Lampiran 4'!I51</f>
        <v>2500000</v>
      </c>
      <c r="H32" s="203">
        <f>+'Tabel Lampiran 4'!K51</f>
        <v>100000</v>
      </c>
      <c r="I32" s="203">
        <f>+'Tabel Lampiran 4'!M51</f>
        <v>100000</v>
      </c>
      <c r="J32" s="196"/>
      <c r="K32" s="201"/>
      <c r="L32" s="198"/>
      <c r="M32" s="200" t="s">
        <v>234</v>
      </c>
      <c r="N32" s="203">
        <v>0</v>
      </c>
      <c r="O32" s="203">
        <f>+'[1]Biaya (2)'!U59</f>
        <v>0</v>
      </c>
      <c r="P32" s="203">
        <f>+'[1]Biaya (2)'!W59</f>
        <v>0</v>
      </c>
      <c r="Q32" s="203">
        <f>+'[1]Biaya (2)'!S88</f>
        <v>0</v>
      </c>
      <c r="R32" s="203">
        <f>+'[1]Biaya (2)'!U88</f>
        <v>0</v>
      </c>
      <c r="S32" s="203">
        <f>+'[1]Biaya (2)'!W88</f>
        <v>0</v>
      </c>
      <c r="T32" s="1"/>
      <c r="U32" s="201"/>
      <c r="V32" s="198"/>
      <c r="W32" s="200" t="s">
        <v>234</v>
      </c>
      <c r="X32" s="203">
        <v>0</v>
      </c>
      <c r="Y32" s="203">
        <f>+'[1]Biaya (2)'!AE59</f>
        <v>0</v>
      </c>
      <c r="Z32" s="203">
        <f>+'[1]Biaya (2)'!AG59</f>
        <v>0</v>
      </c>
      <c r="AA32" s="203">
        <f>+'[1]Biaya (2)'!AC88</f>
        <v>0</v>
      </c>
      <c r="AB32" s="203">
        <f>+'[1]Biaya (2)'!AE88</f>
        <v>0</v>
      </c>
      <c r="AC32" s="203">
        <f>+'[1]Biaya (2)'!AG88</f>
        <v>0</v>
      </c>
      <c r="AD32" s="1"/>
      <c r="AE32" s="201"/>
      <c r="AF32" s="198"/>
      <c r="AG32" s="200" t="s">
        <v>234</v>
      </c>
      <c r="AH32" s="203">
        <v>0</v>
      </c>
      <c r="AI32" s="203">
        <f>+'[1]Biaya (2)'!AO59</f>
        <v>0</v>
      </c>
      <c r="AJ32" s="203">
        <f>+'[1]Biaya (2)'!AQ59</f>
        <v>0</v>
      </c>
      <c r="AK32" s="203">
        <f>+'[1]Biaya (2)'!AM88</f>
        <v>0</v>
      </c>
      <c r="AL32" s="203">
        <f>+'[1]Biaya (2)'!AO88</f>
        <v>0</v>
      </c>
    </row>
    <row r="33" spans="2:40">
      <c r="B33" s="201"/>
      <c r="C33" s="198"/>
      <c r="D33" s="199" t="s">
        <v>235</v>
      </c>
      <c r="E33" s="202"/>
      <c r="F33" s="203">
        <v>0</v>
      </c>
      <c r="G33" s="203">
        <v>0</v>
      </c>
      <c r="H33" s="203">
        <v>0</v>
      </c>
      <c r="I33" s="203">
        <v>0</v>
      </c>
      <c r="J33" s="196"/>
      <c r="K33" s="201"/>
      <c r="L33" s="198"/>
      <c r="M33" s="200" t="s">
        <v>235</v>
      </c>
      <c r="N33" s="203">
        <f>+'Tabel Lampiran 5'!I19</f>
        <v>400000</v>
      </c>
      <c r="O33" s="203">
        <f>+'Tabel Lampiran 5'!K19</f>
        <v>400000</v>
      </c>
      <c r="P33" s="203">
        <f>+'Tabel Lampiran 5'!M19</f>
        <v>400000</v>
      </c>
      <c r="Q33" s="203">
        <f>+'Tabel Lampiran 5'!H42</f>
        <v>400000</v>
      </c>
      <c r="R33" s="203">
        <f>+'Tabel Lampiran 5'!J42</f>
        <v>400000</v>
      </c>
      <c r="S33" s="203">
        <f>+'Tabel Lampiran 5'!L42</f>
        <v>400000</v>
      </c>
      <c r="T33" s="1"/>
      <c r="U33" s="201"/>
      <c r="V33" s="198"/>
      <c r="W33" s="200" t="s">
        <v>235</v>
      </c>
      <c r="X33" s="203">
        <f>+'Tabel Lampiran 5'!H66</f>
        <v>400000</v>
      </c>
      <c r="Y33" s="203">
        <f>+'Tabel Lampiran 5'!J66</f>
        <v>400000</v>
      </c>
      <c r="Z33" s="203">
        <f>+'Tabel Lampiran 5'!L66</f>
        <v>400000</v>
      </c>
      <c r="AA33" s="203">
        <f>+'Tabel Lampiran 5'!H90</f>
        <v>400000</v>
      </c>
      <c r="AB33" s="203">
        <f>+'Tabel Lampiran 5'!J90</f>
        <v>400000</v>
      </c>
      <c r="AC33" s="203">
        <f>+'Tabel Lampiran 5'!L90</f>
        <v>400000</v>
      </c>
      <c r="AD33" s="1"/>
      <c r="AE33" s="201"/>
      <c r="AF33" s="198"/>
      <c r="AG33" s="200" t="s">
        <v>235</v>
      </c>
      <c r="AH33" s="203">
        <f>+'Tabel Lampiran 5'!H114</f>
        <v>400000</v>
      </c>
      <c r="AI33" s="203">
        <f>+'Tabel Lampiran 5'!J114</f>
        <v>400000</v>
      </c>
      <c r="AJ33" s="203">
        <f>+'Tabel Lampiran 5'!L114</f>
        <v>400000</v>
      </c>
      <c r="AK33" s="203">
        <f>+'Tabel Lampiran 5'!H138</f>
        <v>400000</v>
      </c>
      <c r="AL33" s="203">
        <f>+'Tabel Lampiran 5'!J138</f>
        <v>400000</v>
      </c>
    </row>
    <row r="34" spans="2:40">
      <c r="B34" s="342" t="s">
        <v>236</v>
      </c>
      <c r="C34" s="343" t="s">
        <v>237</v>
      </c>
      <c r="D34" s="344"/>
      <c r="E34" s="345"/>
      <c r="F34" s="346">
        <v>0</v>
      </c>
      <c r="G34" s="342">
        <v>0</v>
      </c>
      <c r="H34" s="342">
        <v>0</v>
      </c>
      <c r="I34" s="342">
        <v>0</v>
      </c>
      <c r="J34" s="196"/>
      <c r="K34" s="342" t="s">
        <v>236</v>
      </c>
      <c r="L34" s="343" t="s">
        <v>237</v>
      </c>
      <c r="M34" s="347"/>
      <c r="N34" s="342">
        <f t="shared" ref="N34:S34" si="11">+N21-N24</f>
        <v>33775500</v>
      </c>
      <c r="O34" s="342">
        <f t="shared" si="11"/>
        <v>37275500</v>
      </c>
      <c r="P34" s="342">
        <f t="shared" si="11"/>
        <v>41275500</v>
      </c>
      <c r="Q34" s="342">
        <f t="shared" si="11"/>
        <v>56025500</v>
      </c>
      <c r="R34" s="342">
        <f t="shared" si="11"/>
        <v>63775500</v>
      </c>
      <c r="S34" s="342">
        <f t="shared" si="11"/>
        <v>71025500</v>
      </c>
      <c r="T34" s="348"/>
      <c r="U34" s="342" t="s">
        <v>236</v>
      </c>
      <c r="V34" s="343" t="s">
        <v>237</v>
      </c>
      <c r="W34" s="347"/>
      <c r="X34" s="342">
        <f t="shared" ref="X34:AC34" si="12">+X21-X24</f>
        <v>78775500</v>
      </c>
      <c r="Y34" s="342">
        <f t="shared" si="12"/>
        <v>86025500</v>
      </c>
      <c r="Z34" s="342">
        <f t="shared" si="12"/>
        <v>93775500</v>
      </c>
      <c r="AA34" s="342">
        <f t="shared" si="12"/>
        <v>86025500</v>
      </c>
      <c r="AB34" s="342">
        <f t="shared" si="12"/>
        <v>79149500</v>
      </c>
      <c r="AC34" s="342">
        <f t="shared" si="12"/>
        <v>63899500</v>
      </c>
      <c r="AD34" s="348"/>
      <c r="AE34" s="342" t="s">
        <v>236</v>
      </c>
      <c r="AF34" s="343" t="s">
        <v>237</v>
      </c>
      <c r="AG34" s="347"/>
      <c r="AH34" s="342">
        <f>+AH21-AH24</f>
        <v>49149500</v>
      </c>
      <c r="AI34" s="342">
        <f>+AI21-AI24</f>
        <v>33899500</v>
      </c>
      <c r="AJ34" s="342">
        <f>+AJ21-AJ24</f>
        <v>86649500</v>
      </c>
      <c r="AK34" s="342">
        <f>+AK21-AK24</f>
        <v>71399500</v>
      </c>
      <c r="AL34" s="342">
        <f>+AL21-AL24</f>
        <v>64149500</v>
      </c>
      <c r="AM34" s="349"/>
      <c r="AN34" s="349"/>
    </row>
    <row r="35" spans="2:40">
      <c r="B35" s="342" t="s">
        <v>238</v>
      </c>
      <c r="C35" s="343" t="s">
        <v>239</v>
      </c>
      <c r="D35" s="344"/>
      <c r="E35" s="347"/>
      <c r="F35" s="342">
        <v>0</v>
      </c>
      <c r="G35" s="342">
        <v>0</v>
      </c>
      <c r="H35" s="342">
        <v>0</v>
      </c>
      <c r="I35" s="342">
        <v>0</v>
      </c>
      <c r="J35" s="196"/>
      <c r="K35" s="342" t="s">
        <v>238</v>
      </c>
      <c r="L35" s="343" t="s">
        <v>239</v>
      </c>
      <c r="M35" s="347"/>
      <c r="N35" s="342">
        <f t="shared" ref="N35:S35" si="13">+N14</f>
        <v>3587938.9300781251</v>
      </c>
      <c r="O35" s="342">
        <f t="shared" si="13"/>
        <v>3229145.0370703125</v>
      </c>
      <c r="P35" s="342">
        <f t="shared" si="13"/>
        <v>2870351.1440625004</v>
      </c>
      <c r="Q35" s="342">
        <f t="shared" si="13"/>
        <v>2511557.2510546879</v>
      </c>
      <c r="R35" s="342">
        <f t="shared" si="13"/>
        <v>2152763.3580468753</v>
      </c>
      <c r="S35" s="342">
        <f t="shared" si="13"/>
        <v>1793969.4650390628</v>
      </c>
      <c r="T35" s="348"/>
      <c r="U35" s="342" t="s">
        <v>238</v>
      </c>
      <c r="V35" s="343" t="s">
        <v>239</v>
      </c>
      <c r="W35" s="347"/>
      <c r="X35" s="342">
        <f t="shared" ref="X35:AC35" si="14">+X14</f>
        <v>1435175.5720312502</v>
      </c>
      <c r="Y35" s="342">
        <f t="shared" si="14"/>
        <v>1076381.6790234377</v>
      </c>
      <c r="Z35" s="342">
        <f t="shared" si="14"/>
        <v>717587.78601562511</v>
      </c>
      <c r="AA35" s="342">
        <f t="shared" si="14"/>
        <v>0</v>
      </c>
      <c r="AB35" s="342">
        <f t="shared" si="14"/>
        <v>0</v>
      </c>
      <c r="AC35" s="342">
        <f t="shared" si="14"/>
        <v>0</v>
      </c>
      <c r="AD35" s="348"/>
      <c r="AE35" s="342" t="s">
        <v>238</v>
      </c>
      <c r="AF35" s="343" t="s">
        <v>239</v>
      </c>
      <c r="AG35" s="347"/>
      <c r="AH35" s="342">
        <v>0</v>
      </c>
      <c r="AI35" s="342">
        <v>0</v>
      </c>
      <c r="AJ35" s="342">
        <v>0</v>
      </c>
      <c r="AK35" s="342">
        <v>0</v>
      </c>
      <c r="AL35" s="342">
        <v>0</v>
      </c>
      <c r="AM35" s="349"/>
      <c r="AN35" s="349"/>
    </row>
    <row r="36" spans="2:40">
      <c r="B36" s="350" t="s">
        <v>240</v>
      </c>
      <c r="C36" s="369" t="s">
        <v>92</v>
      </c>
      <c r="D36" s="351"/>
      <c r="E36" s="352"/>
      <c r="F36" s="350">
        <v>0</v>
      </c>
      <c r="G36" s="350">
        <v>0</v>
      </c>
      <c r="H36" s="350">
        <v>0</v>
      </c>
      <c r="I36" s="350">
        <v>0</v>
      </c>
      <c r="J36" s="196"/>
      <c r="K36" s="342" t="s">
        <v>240</v>
      </c>
      <c r="L36" s="343" t="s">
        <v>92</v>
      </c>
      <c r="M36" s="344"/>
      <c r="N36" s="342">
        <f t="shared" ref="N36:S36" si="15">0.5/100*N21</f>
        <v>187500</v>
      </c>
      <c r="O36" s="342">
        <f t="shared" si="15"/>
        <v>206250</v>
      </c>
      <c r="P36" s="342">
        <f t="shared" si="15"/>
        <v>225000</v>
      </c>
      <c r="Q36" s="342">
        <f t="shared" si="15"/>
        <v>300000</v>
      </c>
      <c r="R36" s="342">
        <f t="shared" si="15"/>
        <v>337500</v>
      </c>
      <c r="S36" s="342">
        <f t="shared" si="15"/>
        <v>375000</v>
      </c>
      <c r="T36" s="348"/>
      <c r="U36" s="342" t="s">
        <v>240</v>
      </c>
      <c r="V36" s="343" t="s">
        <v>92</v>
      </c>
      <c r="W36" s="344"/>
      <c r="X36" s="342">
        <f t="shared" ref="X36:AC36" si="16">0.5/100*X21</f>
        <v>412500</v>
      </c>
      <c r="Y36" s="342">
        <f t="shared" si="16"/>
        <v>450000</v>
      </c>
      <c r="Z36" s="342">
        <f t="shared" si="16"/>
        <v>487500</v>
      </c>
      <c r="AA36" s="342">
        <f t="shared" si="16"/>
        <v>450000</v>
      </c>
      <c r="AB36" s="342">
        <f t="shared" si="16"/>
        <v>412500</v>
      </c>
      <c r="AC36" s="342">
        <f t="shared" si="16"/>
        <v>337500</v>
      </c>
      <c r="AD36" s="348"/>
      <c r="AE36" s="342" t="s">
        <v>240</v>
      </c>
      <c r="AF36" s="343" t="s">
        <v>92</v>
      </c>
      <c r="AG36" s="344"/>
      <c r="AH36" s="342">
        <f>0.5/100*AH21</f>
        <v>262500</v>
      </c>
      <c r="AI36" s="342">
        <f>0.5/100*AI21</f>
        <v>187500</v>
      </c>
      <c r="AJ36" s="342">
        <f>0.5/100*AJ21</f>
        <v>450000</v>
      </c>
      <c r="AK36" s="342">
        <f>0.5/100*AK21</f>
        <v>375000</v>
      </c>
      <c r="AL36" s="342">
        <f>0.5/100*AL21</f>
        <v>337500</v>
      </c>
      <c r="AM36" s="349"/>
      <c r="AN36" s="349"/>
    </row>
    <row r="37" spans="2:40">
      <c r="B37" s="373" t="s">
        <v>241</v>
      </c>
      <c r="C37" s="373" t="s">
        <v>242</v>
      </c>
      <c r="D37" s="375"/>
      <c r="E37" s="374"/>
      <c r="F37" s="373">
        <v>0</v>
      </c>
      <c r="G37" s="373">
        <v>0</v>
      </c>
      <c r="H37" s="373">
        <v>0</v>
      </c>
      <c r="I37" s="373">
        <v>0</v>
      </c>
      <c r="J37" s="196"/>
      <c r="K37" s="342" t="s">
        <v>241</v>
      </c>
      <c r="L37" s="343" t="s">
        <v>243</v>
      </c>
      <c r="M37" s="347"/>
      <c r="N37" s="350">
        <f>+N34-N35-N36</f>
        <v>30000061.069921874</v>
      </c>
      <c r="O37" s="350">
        <f t="shared" ref="O37:S37" si="17">+O34-O35-O36</f>
        <v>33840104.962929688</v>
      </c>
      <c r="P37" s="350">
        <f t="shared" si="17"/>
        <v>38180148.855937496</v>
      </c>
      <c r="Q37" s="350">
        <f t="shared" si="17"/>
        <v>53213942.748945311</v>
      </c>
      <c r="R37" s="350">
        <f t="shared" si="17"/>
        <v>61285236.641953126</v>
      </c>
      <c r="S37" s="350">
        <f t="shared" si="17"/>
        <v>68856530.53496094</v>
      </c>
      <c r="T37" s="348"/>
      <c r="U37" s="350" t="s">
        <v>241</v>
      </c>
      <c r="V37" s="343" t="s">
        <v>243</v>
      </c>
      <c r="W37" s="347"/>
      <c r="X37" s="350">
        <f t="shared" ref="X37:AC37" si="18">+X34-X35-X36</f>
        <v>76927824.427968755</v>
      </c>
      <c r="Y37" s="350">
        <f t="shared" si="18"/>
        <v>84499118.320976555</v>
      </c>
      <c r="Z37" s="350">
        <f t="shared" si="18"/>
        <v>92570412.21398437</v>
      </c>
      <c r="AA37" s="350">
        <f t="shared" si="18"/>
        <v>85575500</v>
      </c>
      <c r="AB37" s="350">
        <f t="shared" si="18"/>
        <v>78737000</v>
      </c>
      <c r="AC37" s="350">
        <f t="shared" si="18"/>
        <v>63562000</v>
      </c>
      <c r="AD37" s="348"/>
      <c r="AE37" s="350" t="s">
        <v>241</v>
      </c>
      <c r="AF37" s="343" t="s">
        <v>243</v>
      </c>
      <c r="AG37" s="347"/>
      <c r="AH37" s="350">
        <f t="shared" ref="AH37:AL37" si="19">+AH34-AH35-AH36</f>
        <v>48887000</v>
      </c>
      <c r="AI37" s="350">
        <f t="shared" si="19"/>
        <v>33712000</v>
      </c>
      <c r="AJ37" s="350">
        <f t="shared" si="19"/>
        <v>86199500</v>
      </c>
      <c r="AK37" s="350">
        <f t="shared" si="19"/>
        <v>71024500</v>
      </c>
      <c r="AL37" s="350">
        <f t="shared" si="19"/>
        <v>63812000</v>
      </c>
      <c r="AM37" s="349"/>
      <c r="AN37" s="349"/>
    </row>
    <row r="38" spans="2:40">
      <c r="B38" s="373" t="s">
        <v>299</v>
      </c>
      <c r="C38" s="373" t="s">
        <v>317</v>
      </c>
      <c r="D38" s="375"/>
      <c r="E38" s="374"/>
      <c r="F38" s="373">
        <f>+F37</f>
        <v>0</v>
      </c>
      <c r="G38" s="373">
        <f>+G37+F38</f>
        <v>0</v>
      </c>
      <c r="H38" s="373">
        <f t="shared" ref="H38:I38" si="20">+H37+G38</f>
        <v>0</v>
      </c>
      <c r="I38" s="373">
        <f t="shared" si="20"/>
        <v>0</v>
      </c>
      <c r="J38" s="196"/>
      <c r="K38" s="373" t="s">
        <v>299</v>
      </c>
      <c r="L38" s="373" t="s">
        <v>317</v>
      </c>
      <c r="M38" s="375"/>
      <c r="N38" s="373">
        <f>+I38+N37</f>
        <v>30000061.069921874</v>
      </c>
      <c r="O38" s="373">
        <f>+N38+O37</f>
        <v>63840166.032851562</v>
      </c>
      <c r="P38" s="373">
        <f t="shared" ref="P38:S38" si="21">+O38+P37</f>
        <v>102020314.88878906</v>
      </c>
      <c r="Q38" s="373">
        <f t="shared" si="21"/>
        <v>155234257.63773435</v>
      </c>
      <c r="R38" s="373">
        <f t="shared" si="21"/>
        <v>216519494.27968746</v>
      </c>
      <c r="S38" s="373">
        <f t="shared" si="21"/>
        <v>285376024.81464839</v>
      </c>
      <c r="T38" s="348"/>
      <c r="U38" s="373" t="s">
        <v>299</v>
      </c>
      <c r="V38" s="373" t="s">
        <v>317</v>
      </c>
      <c r="W38" s="375"/>
      <c r="X38" s="373">
        <f>+S38+X37</f>
        <v>362303849.24261713</v>
      </c>
      <c r="Y38" s="373">
        <f>+X38+Y37</f>
        <v>446802967.56359369</v>
      </c>
      <c r="Z38" s="373">
        <f t="shared" ref="Z38:AC38" si="22">+Y38+Z37</f>
        <v>539373379.77757812</v>
      </c>
      <c r="AA38" s="373">
        <f t="shared" si="22"/>
        <v>624948879.77757812</v>
      </c>
      <c r="AB38" s="373">
        <f t="shared" si="22"/>
        <v>703685879.77757812</v>
      </c>
      <c r="AC38" s="373">
        <f t="shared" si="22"/>
        <v>767247879.77757812</v>
      </c>
      <c r="AD38" s="348"/>
      <c r="AE38" s="373" t="s">
        <v>299</v>
      </c>
      <c r="AF38" s="373" t="s">
        <v>317</v>
      </c>
      <c r="AG38" s="375"/>
      <c r="AH38" s="373">
        <f>+AC38+AH37</f>
        <v>816134879.77757812</v>
      </c>
      <c r="AI38" s="373">
        <f>+AI37+AH38</f>
        <v>849846879.77757812</v>
      </c>
      <c r="AJ38" s="373">
        <f t="shared" ref="AJ38:AL38" si="23">+AJ37+AI38</f>
        <v>936046379.77757812</v>
      </c>
      <c r="AK38" s="373">
        <f t="shared" si="23"/>
        <v>1007070879.7775781</v>
      </c>
      <c r="AL38" s="373">
        <f t="shared" si="23"/>
        <v>1070882879.7775781</v>
      </c>
      <c r="AM38" s="349"/>
      <c r="AN38" s="349"/>
    </row>
    <row r="39" spans="2:40">
      <c r="B39" s="370" t="s">
        <v>319</v>
      </c>
      <c r="C39" s="370" t="s">
        <v>300</v>
      </c>
      <c r="D39" s="371"/>
      <c r="E39" s="372"/>
      <c r="F39" s="370">
        <v>0</v>
      </c>
      <c r="G39" s="370">
        <v>0</v>
      </c>
      <c r="H39" s="370">
        <v>0</v>
      </c>
      <c r="I39" s="370">
        <v>0</v>
      </c>
      <c r="J39" s="204"/>
      <c r="K39" s="353" t="s">
        <v>319</v>
      </c>
      <c r="L39" s="354" t="s">
        <v>300</v>
      </c>
      <c r="M39" s="355"/>
      <c r="N39" s="356">
        <f t="shared" ref="N39:S39" si="24">+N37/N21*100</f>
        <v>80.000162853125005</v>
      </c>
      <c r="O39" s="356">
        <f t="shared" si="24"/>
        <v>82.036618091950757</v>
      </c>
      <c r="P39" s="356">
        <f t="shared" si="24"/>
        <v>84.844775235416662</v>
      </c>
      <c r="Q39" s="356">
        <f t="shared" si="24"/>
        <v>88.689904581575519</v>
      </c>
      <c r="R39" s="356">
        <f t="shared" si="24"/>
        <v>90.792943173263879</v>
      </c>
      <c r="S39" s="356">
        <f t="shared" si="24"/>
        <v>91.808707379947919</v>
      </c>
      <c r="T39" s="357"/>
      <c r="U39" s="356" t="s">
        <v>319</v>
      </c>
      <c r="V39" s="358" t="s">
        <v>300</v>
      </c>
      <c r="W39" s="359"/>
      <c r="X39" s="356">
        <f t="shared" ref="X39:AC39" si="25">+X37/X21*100</f>
        <v>93.245847791477274</v>
      </c>
      <c r="Y39" s="356">
        <f t="shared" si="25"/>
        <v>93.887909245529514</v>
      </c>
      <c r="Z39" s="356">
        <f t="shared" si="25"/>
        <v>94.944012527163451</v>
      </c>
      <c r="AA39" s="356">
        <f t="shared" si="25"/>
        <v>95.083888888888893</v>
      </c>
      <c r="AB39" s="356">
        <f t="shared" si="25"/>
        <v>95.438787878787878</v>
      </c>
      <c r="AC39" s="356">
        <f t="shared" si="25"/>
        <v>94.165925925925933</v>
      </c>
      <c r="AD39" s="357"/>
      <c r="AE39" s="356" t="s">
        <v>319</v>
      </c>
      <c r="AF39" s="358" t="s">
        <v>300</v>
      </c>
      <c r="AG39" s="359"/>
      <c r="AH39" s="356">
        <f>+AH37/AH21*100</f>
        <v>93.118095238095236</v>
      </c>
      <c r="AI39" s="356">
        <f>+AI37/AI21*100</f>
        <v>89.898666666666671</v>
      </c>
      <c r="AJ39" s="356">
        <f>+AJ37/AJ21*100</f>
        <v>95.777222222222221</v>
      </c>
      <c r="AK39" s="356">
        <f>+AK37/AK21*100</f>
        <v>94.699333333333328</v>
      </c>
      <c r="AL39" s="356">
        <f>+AL37/AL21*100</f>
        <v>94.5362962962963</v>
      </c>
      <c r="AM39" s="349"/>
      <c r="AN39" s="349"/>
    </row>
    <row r="40" spans="2:40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40">
      <c r="B41" s="196" t="s">
        <v>316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40">
      <c r="B42" s="368" t="s">
        <v>317</v>
      </c>
      <c r="C42" s="89"/>
      <c r="D42" s="89"/>
      <c r="E42" s="238"/>
      <c r="F42" s="376">
        <f>+AL38</f>
        <v>1070882879.7775781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40">
      <c r="B43" s="368" t="s">
        <v>318</v>
      </c>
      <c r="C43" s="89"/>
      <c r="D43" s="89"/>
      <c r="E43" s="238"/>
      <c r="F43" s="23">
        <f>+F42/20</f>
        <v>53544143.988878906</v>
      </c>
      <c r="G43" s="1"/>
      <c r="H43" s="389">
        <f>SUM(N39:S39)</f>
        <v>518.1731113152797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40">
      <c r="B44" s="368" t="s">
        <v>322</v>
      </c>
      <c r="C44" s="89"/>
      <c r="D44" s="89"/>
      <c r="E44" s="238"/>
      <c r="F44" s="83">
        <f>+H46/20</f>
        <v>77.64845486648332</v>
      </c>
      <c r="G44" s="1"/>
      <c r="H44" s="389">
        <f>SUM(X39:AC39)</f>
        <v>566.7663722577729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40">
      <c r="B45" s="1"/>
      <c r="C45" s="1"/>
      <c r="D45" s="1"/>
      <c r="E45" s="1"/>
      <c r="F45" s="1"/>
      <c r="G45" s="1"/>
      <c r="H45" s="389">
        <f>SUM(AH39:AL39)</f>
        <v>468.0296137566138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40">
      <c r="B46" s="1"/>
      <c r="C46" s="1"/>
      <c r="D46" s="1"/>
      <c r="E46" s="1"/>
      <c r="F46" s="1"/>
      <c r="G46" s="1"/>
      <c r="H46" s="389">
        <f>SUM(H43:H45)</f>
        <v>1552.9690973296665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40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2:40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</sheetData>
  <mergeCells count="16">
    <mergeCell ref="AE6:AL6"/>
    <mergeCell ref="C8:D8"/>
    <mergeCell ref="L8:M8"/>
    <mergeCell ref="V8:W8"/>
    <mergeCell ref="AF8:AG8"/>
    <mergeCell ref="B6:I6"/>
    <mergeCell ref="K6:S6"/>
    <mergeCell ref="U6:AC6"/>
    <mergeCell ref="AE18:AL18"/>
    <mergeCell ref="C20:D20"/>
    <mergeCell ref="L20:M20"/>
    <mergeCell ref="V20:W20"/>
    <mergeCell ref="AF20:AG20"/>
    <mergeCell ref="B18:I18"/>
    <mergeCell ref="K18:S18"/>
    <mergeCell ref="U18:AC18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A50"/>
  <sheetViews>
    <sheetView tabSelected="1" topLeftCell="A16" workbookViewId="0">
      <selection activeCell="J31" sqref="J31"/>
    </sheetView>
  </sheetViews>
  <sheetFormatPr defaultRowHeight="15"/>
  <cols>
    <col min="2" max="2" width="4.85546875" customWidth="1"/>
    <col min="3" max="3" width="3.7109375" customWidth="1"/>
    <col min="4" max="4" width="34.5703125" customWidth="1"/>
    <col min="5" max="5" width="3.140625" customWidth="1"/>
    <col min="6" max="26" width="12.7109375" customWidth="1"/>
  </cols>
  <sheetData>
    <row r="1" spans="2:27">
      <c r="B1" s="2" t="s">
        <v>71</v>
      </c>
      <c r="C1" s="2"/>
      <c r="D1" s="2"/>
      <c r="E1" s="2"/>
      <c r="F1" s="2"/>
      <c r="G1" s="103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>
      <c r="B2" s="1" t="s">
        <v>1</v>
      </c>
      <c r="C2" s="1"/>
      <c r="D2" s="1"/>
      <c r="E2" s="103" t="s">
        <v>7</v>
      </c>
      <c r="F2" s="1" t="s">
        <v>78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>
      <c r="B3" s="1" t="s">
        <v>2</v>
      </c>
      <c r="C3" s="1"/>
      <c r="D3" s="1"/>
      <c r="E3" s="103" t="s">
        <v>7</v>
      </c>
      <c r="F3" t="s">
        <v>323</v>
      </c>
      <c r="I3" s="1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>
      <c r="B4" s="1" t="s">
        <v>94</v>
      </c>
      <c r="C4" s="1"/>
      <c r="D4" s="1"/>
      <c r="E4" s="103" t="s">
        <v>7</v>
      </c>
      <c r="F4" s="1" t="s">
        <v>95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>
      <c r="B6" s="449" t="s">
        <v>333</v>
      </c>
      <c r="C6" s="450"/>
      <c r="D6" s="450"/>
      <c r="E6" s="450"/>
      <c r="F6" s="450"/>
      <c r="G6" s="450"/>
      <c r="H6" s="450"/>
      <c r="I6" s="450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1"/>
    </row>
    <row r="7" spans="2:27"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"/>
    </row>
    <row r="8" spans="2:27">
      <c r="B8" s="170" t="s">
        <v>60</v>
      </c>
      <c r="C8" s="451" t="s">
        <v>15</v>
      </c>
      <c r="D8" s="451"/>
      <c r="E8" s="205"/>
      <c r="F8" s="172" t="s">
        <v>252</v>
      </c>
      <c r="G8" s="190" t="s">
        <v>253</v>
      </c>
      <c r="H8" s="190" t="s">
        <v>254</v>
      </c>
      <c r="I8" s="190" t="s">
        <v>255</v>
      </c>
      <c r="J8" s="172" t="s">
        <v>96</v>
      </c>
      <c r="K8" s="173" t="s">
        <v>97</v>
      </c>
      <c r="L8" s="173" t="s">
        <v>98</v>
      </c>
      <c r="M8" s="173" t="s">
        <v>99</v>
      </c>
      <c r="N8" s="173" t="s">
        <v>100</v>
      </c>
      <c r="O8" s="174" t="s">
        <v>101</v>
      </c>
      <c r="P8" s="172" t="s">
        <v>102</v>
      </c>
      <c r="Q8" s="173" t="s">
        <v>103</v>
      </c>
      <c r="R8" s="173" t="s">
        <v>104</v>
      </c>
      <c r="S8" s="173" t="s">
        <v>105</v>
      </c>
      <c r="T8" s="173" t="s">
        <v>106</v>
      </c>
      <c r="U8" s="174" t="s">
        <v>107</v>
      </c>
      <c r="V8" s="172" t="s">
        <v>108</v>
      </c>
      <c r="W8" s="173" t="s">
        <v>109</v>
      </c>
      <c r="X8" s="173" t="s">
        <v>110</v>
      </c>
      <c r="Y8" s="360" t="s">
        <v>111</v>
      </c>
      <c r="Z8" s="367" t="s">
        <v>112</v>
      </c>
      <c r="AA8" s="1"/>
    </row>
    <row r="9" spans="2:27">
      <c r="B9" s="195" t="s">
        <v>223</v>
      </c>
      <c r="C9" s="192" t="s">
        <v>244</v>
      </c>
      <c r="D9" s="206"/>
      <c r="E9" s="207"/>
      <c r="F9" s="208" t="s">
        <v>8</v>
      </c>
      <c r="G9" s="208" t="s">
        <v>8</v>
      </c>
      <c r="H9" s="208" t="s">
        <v>8</v>
      </c>
      <c r="I9" s="208" t="s">
        <v>8</v>
      </c>
      <c r="J9" s="208" t="s">
        <v>8</v>
      </c>
      <c r="K9" s="208" t="s">
        <v>211</v>
      </c>
      <c r="L9" s="208" t="s">
        <v>8</v>
      </c>
      <c r="M9" s="208" t="s">
        <v>8</v>
      </c>
      <c r="N9" s="208" t="s">
        <v>8</v>
      </c>
      <c r="O9" s="208" t="s">
        <v>8</v>
      </c>
      <c r="P9" s="208" t="s">
        <v>8</v>
      </c>
      <c r="Q9" s="208" t="s">
        <v>8</v>
      </c>
      <c r="R9" s="208" t="s">
        <v>8</v>
      </c>
      <c r="S9" s="208" t="s">
        <v>8</v>
      </c>
      <c r="T9" s="208" t="s">
        <v>8</v>
      </c>
      <c r="U9" s="208" t="s">
        <v>8</v>
      </c>
      <c r="V9" s="208" t="s">
        <v>8</v>
      </c>
      <c r="W9" s="208" t="s">
        <v>8</v>
      </c>
      <c r="X9" s="208" t="s">
        <v>8</v>
      </c>
      <c r="Y9" s="192" t="s">
        <v>8</v>
      </c>
      <c r="Z9" s="220" t="s">
        <v>8</v>
      </c>
      <c r="AA9" s="1"/>
    </row>
    <row r="10" spans="2:27">
      <c r="B10" s="197" t="s">
        <v>8</v>
      </c>
      <c r="C10" s="209" t="s">
        <v>81</v>
      </c>
      <c r="D10" s="210" t="s">
        <v>271</v>
      </c>
      <c r="E10" s="211"/>
      <c r="F10" s="181">
        <v>0</v>
      </c>
      <c r="G10" s="182">
        <v>0</v>
      </c>
      <c r="H10" s="182">
        <v>0</v>
      </c>
      <c r="I10" s="182">
        <v>0</v>
      </c>
      <c r="J10" s="181">
        <f>+'Tabel Lampiran 7'!N21</f>
        <v>37500000</v>
      </c>
      <c r="K10" s="181">
        <f>+'Tabel Lampiran 7'!O21</f>
        <v>41250000</v>
      </c>
      <c r="L10" s="181">
        <f>+'Tabel Lampiran 7'!P21</f>
        <v>45000000</v>
      </c>
      <c r="M10" s="181">
        <f>+'Tabel Lampiran 7'!Q21</f>
        <v>60000000</v>
      </c>
      <c r="N10" s="181">
        <f>+'Tabel Lampiran 7'!R21</f>
        <v>67500000</v>
      </c>
      <c r="O10" s="181">
        <f>+'Tabel Lampiran 7'!S21</f>
        <v>75000000</v>
      </c>
      <c r="P10" s="181">
        <f>+'Tabel Lampiran 7'!X21</f>
        <v>82500000</v>
      </c>
      <c r="Q10" s="181">
        <f>+'Tabel Lampiran 7'!Y21</f>
        <v>90000000</v>
      </c>
      <c r="R10" s="181">
        <f>+'Tabel Lampiran 7'!Z21</f>
        <v>97500000</v>
      </c>
      <c r="S10" s="181">
        <f>+'Tabel Lampiran 7'!AA21</f>
        <v>90000000</v>
      </c>
      <c r="T10" s="181">
        <f>+'Tabel Lampiran 7'!AB21</f>
        <v>82500000</v>
      </c>
      <c r="U10" s="181">
        <f>+'Tabel Lampiran 7'!AC21</f>
        <v>67500000</v>
      </c>
      <c r="V10" s="181">
        <f>+'Tabel Lampiran 7'!AH21</f>
        <v>52500000</v>
      </c>
      <c r="W10" s="181">
        <f>+'Tabel Lampiran 7'!AI21</f>
        <v>37500000</v>
      </c>
      <c r="X10" s="181">
        <f>+'Tabel Lampiran 7'!AJ21</f>
        <v>90000000</v>
      </c>
      <c r="Y10" s="180">
        <f>+'Tabel Lampiran 7'!AK21</f>
        <v>75000000</v>
      </c>
      <c r="Z10" s="216">
        <f>+'Tabel Lampiran 7'!AL21</f>
        <v>67500000</v>
      </c>
      <c r="AA10" s="1"/>
    </row>
    <row r="11" spans="2:27">
      <c r="B11" s="197"/>
      <c r="C11" s="209" t="s">
        <v>81</v>
      </c>
      <c r="D11" s="210" t="s">
        <v>245</v>
      </c>
      <c r="E11" s="212"/>
      <c r="F11" s="181">
        <f>+'Tabel Lampiran 6'!H16</f>
        <v>27195000</v>
      </c>
      <c r="G11" s="182">
        <f>+'Tabel Lampiran 6'!I16</f>
        <v>4631375</v>
      </c>
      <c r="H11" s="182">
        <f>+'Tabel Lampiran 4'!K55</f>
        <v>3693750</v>
      </c>
      <c r="I11" s="182">
        <f>+'Tabel Lampiran 7'!I10</f>
        <v>3337617.609375</v>
      </c>
      <c r="J11" s="181">
        <v>0</v>
      </c>
      <c r="K11" s="182">
        <v>0</v>
      </c>
      <c r="L11" s="182">
        <v>0</v>
      </c>
      <c r="M11" s="182">
        <v>0</v>
      </c>
      <c r="N11" s="179">
        <v>0</v>
      </c>
      <c r="O11" s="182">
        <v>0</v>
      </c>
      <c r="P11" s="181">
        <v>0</v>
      </c>
      <c r="Q11" s="182">
        <v>0</v>
      </c>
      <c r="R11" s="182">
        <v>0</v>
      </c>
      <c r="S11" s="182">
        <v>0</v>
      </c>
      <c r="T11" s="179">
        <v>0</v>
      </c>
      <c r="U11" s="182">
        <v>0</v>
      </c>
      <c r="V11" s="181">
        <v>0</v>
      </c>
      <c r="W11" s="182">
        <v>0</v>
      </c>
      <c r="X11" s="182">
        <v>0</v>
      </c>
      <c r="Y11" s="179">
        <v>0</v>
      </c>
      <c r="Z11" s="216">
        <v>0</v>
      </c>
      <c r="AA11" s="1"/>
    </row>
    <row r="12" spans="2:27">
      <c r="B12" s="197"/>
      <c r="C12" s="209" t="s">
        <v>81</v>
      </c>
      <c r="D12" s="210" t="s">
        <v>272</v>
      </c>
      <c r="E12" s="212"/>
      <c r="F12" s="181">
        <f>+'Tabel Lampiran 7'!F10</f>
        <v>2039625</v>
      </c>
      <c r="G12" s="181">
        <f>+'Tabel Lampiran 7'!G10</f>
        <v>2539950</v>
      </c>
      <c r="H12" s="181">
        <f>+'Tabel Lampiran 7'!H10</f>
        <v>2924368.125</v>
      </c>
      <c r="I12" s="181">
        <f>+'Tabel Lampiran 7'!I10</f>
        <v>3337617.609375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81">
        <v>0</v>
      </c>
      <c r="R12" s="181">
        <v>0</v>
      </c>
      <c r="S12" s="181">
        <v>0</v>
      </c>
      <c r="T12" s="181">
        <v>0</v>
      </c>
      <c r="U12" s="181">
        <v>0</v>
      </c>
      <c r="V12" s="181">
        <v>0</v>
      </c>
      <c r="W12" s="181">
        <f>+W19</f>
        <v>0</v>
      </c>
      <c r="X12" s="181">
        <f>+X19</f>
        <v>0</v>
      </c>
      <c r="Y12" s="180">
        <f>+Y19</f>
        <v>0</v>
      </c>
      <c r="Z12" s="216">
        <f>+Z19</f>
        <v>0</v>
      </c>
      <c r="AA12" s="1"/>
    </row>
    <row r="13" spans="2:27">
      <c r="B13" s="197"/>
      <c r="C13" s="209" t="s">
        <v>81</v>
      </c>
      <c r="D13" s="210" t="s">
        <v>279</v>
      </c>
      <c r="E13" s="212"/>
      <c r="F13" s="181">
        <v>0</v>
      </c>
      <c r="G13" s="181">
        <v>0</v>
      </c>
      <c r="H13" s="181">
        <v>0</v>
      </c>
      <c r="I13" s="181">
        <v>0</v>
      </c>
      <c r="J13" s="181">
        <f>+'Tabel Lampiran 6'!L12</f>
        <v>4378150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0</v>
      </c>
      <c r="V13" s="213">
        <v>0</v>
      </c>
      <c r="W13" s="213">
        <v>0</v>
      </c>
      <c r="X13" s="213">
        <v>0</v>
      </c>
      <c r="Y13" s="361">
        <v>0</v>
      </c>
      <c r="Z13" s="216">
        <v>0</v>
      </c>
      <c r="AA13" s="1"/>
    </row>
    <row r="14" spans="2:27">
      <c r="B14" s="214"/>
      <c r="C14" s="209" t="s">
        <v>81</v>
      </c>
      <c r="D14" s="210" t="s">
        <v>246</v>
      </c>
      <c r="E14" s="212"/>
      <c r="F14" s="213">
        <f>+'Tabel Lampiran 6'!H19</f>
        <v>11655000</v>
      </c>
      <c r="G14" s="213">
        <f>+'Tabel Lampiran 6'!I19</f>
        <v>1984875</v>
      </c>
      <c r="H14" s="213">
        <f>+'Tabel Lampiran 6'!J19</f>
        <v>1108125</v>
      </c>
      <c r="I14" s="213">
        <f>+'Tabel Lampiran 6'!K19</f>
        <v>1108125</v>
      </c>
      <c r="J14" s="213">
        <f>+'Tabel Lampiran 6'!M13</f>
        <v>1876350</v>
      </c>
      <c r="K14" s="213">
        <v>0</v>
      </c>
      <c r="L14" s="213">
        <v>0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13">
        <v>0</v>
      </c>
      <c r="V14" s="213">
        <v>0</v>
      </c>
      <c r="W14" s="213">
        <v>0</v>
      </c>
      <c r="X14" s="213">
        <v>0</v>
      </c>
      <c r="Y14" s="361">
        <v>0</v>
      </c>
      <c r="Z14" s="216">
        <v>0</v>
      </c>
      <c r="AA14" s="1"/>
    </row>
    <row r="15" spans="2:27">
      <c r="B15" s="201"/>
      <c r="C15" s="209" t="s">
        <v>81</v>
      </c>
      <c r="D15" s="210" t="s">
        <v>274</v>
      </c>
      <c r="E15" s="215"/>
      <c r="F15" s="216">
        <f>SUM(F10:F14)</f>
        <v>40889625</v>
      </c>
      <c r="G15" s="216">
        <f t="shared" ref="G15:Z15" si="0">SUM(G10:G14)</f>
        <v>9156200</v>
      </c>
      <c r="H15" s="216">
        <f t="shared" si="0"/>
        <v>7726243.125</v>
      </c>
      <c r="I15" s="216">
        <f t="shared" si="0"/>
        <v>7783360.21875</v>
      </c>
      <c r="J15" s="216">
        <f t="shared" si="0"/>
        <v>43754500</v>
      </c>
      <c r="K15" s="216">
        <f t="shared" si="0"/>
        <v>41250000</v>
      </c>
      <c r="L15" s="216">
        <f t="shared" si="0"/>
        <v>45000000</v>
      </c>
      <c r="M15" s="216">
        <f t="shared" si="0"/>
        <v>60000000</v>
      </c>
      <c r="N15" s="216">
        <f t="shared" si="0"/>
        <v>67500000</v>
      </c>
      <c r="O15" s="216">
        <f t="shared" si="0"/>
        <v>75000000</v>
      </c>
      <c r="P15" s="216">
        <f t="shared" si="0"/>
        <v>82500000</v>
      </c>
      <c r="Q15" s="216">
        <f t="shared" si="0"/>
        <v>90000000</v>
      </c>
      <c r="R15" s="216">
        <f t="shared" si="0"/>
        <v>97500000</v>
      </c>
      <c r="S15" s="216">
        <f t="shared" si="0"/>
        <v>90000000</v>
      </c>
      <c r="T15" s="216">
        <f t="shared" si="0"/>
        <v>82500000</v>
      </c>
      <c r="U15" s="216">
        <f t="shared" si="0"/>
        <v>67500000</v>
      </c>
      <c r="V15" s="216">
        <f t="shared" si="0"/>
        <v>52500000</v>
      </c>
      <c r="W15" s="216">
        <f t="shared" si="0"/>
        <v>37500000</v>
      </c>
      <c r="X15" s="216">
        <f t="shared" si="0"/>
        <v>90000000</v>
      </c>
      <c r="Y15" s="362">
        <f t="shared" si="0"/>
        <v>75000000</v>
      </c>
      <c r="Z15" s="216">
        <f t="shared" si="0"/>
        <v>67500000</v>
      </c>
      <c r="AA15" s="1"/>
    </row>
    <row r="16" spans="2:27">
      <c r="B16" s="201"/>
      <c r="C16" s="209" t="s">
        <v>8</v>
      </c>
      <c r="D16" s="210" t="s">
        <v>275</v>
      </c>
      <c r="E16" s="217"/>
      <c r="F16" s="216">
        <v>0</v>
      </c>
      <c r="G16" s="216">
        <v>0</v>
      </c>
      <c r="H16" s="216">
        <v>0</v>
      </c>
      <c r="I16" s="216">
        <v>0</v>
      </c>
      <c r="J16" s="216">
        <f>+J10</f>
        <v>37500000</v>
      </c>
      <c r="K16" s="216">
        <f t="shared" ref="K16:Z16" si="1">+K10</f>
        <v>41250000</v>
      </c>
      <c r="L16" s="216">
        <f t="shared" si="1"/>
        <v>45000000</v>
      </c>
      <c r="M16" s="216">
        <f t="shared" si="1"/>
        <v>60000000</v>
      </c>
      <c r="N16" s="216">
        <f t="shared" si="1"/>
        <v>67500000</v>
      </c>
      <c r="O16" s="216">
        <f t="shared" si="1"/>
        <v>75000000</v>
      </c>
      <c r="P16" s="216">
        <f t="shared" si="1"/>
        <v>82500000</v>
      </c>
      <c r="Q16" s="216">
        <f t="shared" si="1"/>
        <v>90000000</v>
      </c>
      <c r="R16" s="216">
        <f t="shared" si="1"/>
        <v>97500000</v>
      </c>
      <c r="S16" s="216">
        <f t="shared" si="1"/>
        <v>90000000</v>
      </c>
      <c r="T16" s="216">
        <f t="shared" si="1"/>
        <v>82500000</v>
      </c>
      <c r="U16" s="216">
        <f t="shared" si="1"/>
        <v>67500000</v>
      </c>
      <c r="V16" s="216">
        <f t="shared" si="1"/>
        <v>52500000</v>
      </c>
      <c r="W16" s="216">
        <f t="shared" si="1"/>
        <v>37500000</v>
      </c>
      <c r="X16" s="216">
        <f t="shared" si="1"/>
        <v>90000000</v>
      </c>
      <c r="Y16" s="362">
        <f t="shared" si="1"/>
        <v>75000000</v>
      </c>
      <c r="Z16" s="216">
        <f t="shared" si="1"/>
        <v>67500000</v>
      </c>
      <c r="AA16" s="1"/>
    </row>
    <row r="17" spans="2:27">
      <c r="B17" s="195" t="s">
        <v>226</v>
      </c>
      <c r="C17" s="218" t="s">
        <v>247</v>
      </c>
      <c r="D17" s="192"/>
      <c r="E17" s="219"/>
      <c r="F17" s="220" t="s">
        <v>8</v>
      </c>
      <c r="G17" s="220" t="s">
        <v>8</v>
      </c>
      <c r="H17" s="220" t="s">
        <v>8</v>
      </c>
      <c r="I17" s="220" t="s">
        <v>8</v>
      </c>
      <c r="J17" s="221" t="s">
        <v>8</v>
      </c>
      <c r="K17" s="221" t="s">
        <v>8</v>
      </c>
      <c r="L17" s="221" t="s">
        <v>8</v>
      </c>
      <c r="M17" s="221" t="s">
        <v>8</v>
      </c>
      <c r="N17" s="221" t="s">
        <v>8</v>
      </c>
      <c r="O17" s="221" t="s">
        <v>8</v>
      </c>
      <c r="P17" s="221" t="s">
        <v>8</v>
      </c>
      <c r="Q17" s="221" t="s">
        <v>8</v>
      </c>
      <c r="R17" s="221" t="s">
        <v>8</v>
      </c>
      <c r="S17" s="221" t="s">
        <v>8</v>
      </c>
      <c r="T17" s="221" t="s">
        <v>8</v>
      </c>
      <c r="U17" s="221" t="s">
        <v>8</v>
      </c>
      <c r="V17" s="221" t="s">
        <v>8</v>
      </c>
      <c r="W17" s="221" t="s">
        <v>8</v>
      </c>
      <c r="X17" s="221" t="s">
        <v>8</v>
      </c>
      <c r="Y17" s="363" t="s">
        <v>8</v>
      </c>
      <c r="Z17" s="220" t="s">
        <v>8</v>
      </c>
      <c r="AA17" s="1"/>
    </row>
    <row r="18" spans="2:27">
      <c r="B18" s="197" t="s">
        <v>8</v>
      </c>
      <c r="C18" s="209" t="s">
        <v>81</v>
      </c>
      <c r="D18" s="210" t="s">
        <v>248</v>
      </c>
      <c r="E18" s="212"/>
      <c r="F18" s="222">
        <f>+'Tabel Lampiran 6'!H8</f>
        <v>38850000</v>
      </c>
      <c r="G18" s="222">
        <f>+'Tabel Lampiran 6'!I8</f>
        <v>6616250</v>
      </c>
      <c r="H18" s="222">
        <f>+'Tabel Lampiran 6'!J8</f>
        <v>3693750</v>
      </c>
      <c r="I18" s="222">
        <f>+'Tabel Lampiran 6'!K8</f>
        <v>3693750</v>
      </c>
      <c r="J18" s="181">
        <v>0</v>
      </c>
      <c r="K18" s="182">
        <v>0</v>
      </c>
      <c r="L18" s="182">
        <v>0</v>
      </c>
      <c r="M18" s="182">
        <v>0</v>
      </c>
      <c r="N18" s="179">
        <v>0</v>
      </c>
      <c r="O18" s="182">
        <v>0</v>
      </c>
      <c r="P18" s="181">
        <v>0</v>
      </c>
      <c r="Q18" s="182">
        <v>0</v>
      </c>
      <c r="R18" s="182">
        <v>0</v>
      </c>
      <c r="S18" s="182">
        <v>0</v>
      </c>
      <c r="T18" s="179">
        <v>0</v>
      </c>
      <c r="U18" s="182">
        <v>0</v>
      </c>
      <c r="V18" s="181">
        <v>0</v>
      </c>
      <c r="W18" s="182">
        <v>0</v>
      </c>
      <c r="X18" s="182">
        <v>0</v>
      </c>
      <c r="Y18" s="179">
        <v>0</v>
      </c>
      <c r="Z18" s="216">
        <v>0</v>
      </c>
      <c r="AA18" s="1"/>
    </row>
    <row r="19" spans="2:27">
      <c r="B19" s="197"/>
      <c r="C19" s="209" t="s">
        <v>81</v>
      </c>
      <c r="D19" s="210" t="s">
        <v>249</v>
      </c>
      <c r="E19" s="212"/>
      <c r="F19" s="181">
        <f>+'Tabel Lampiran 7'!F10</f>
        <v>2039625</v>
      </c>
      <c r="G19" s="181">
        <f>+'Tabel Lampiran 7'!G10</f>
        <v>2539950</v>
      </c>
      <c r="H19" s="181">
        <f>+'Tabel Lampiran 7'!H10</f>
        <v>2924368.125</v>
      </c>
      <c r="I19" s="181">
        <f>+'Tabel Lampiran 7'!I10</f>
        <v>3337617.609375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0</v>
      </c>
      <c r="S19" s="181">
        <v>0</v>
      </c>
      <c r="T19" s="181">
        <v>0</v>
      </c>
      <c r="U19" s="181">
        <v>0</v>
      </c>
      <c r="V19" s="181">
        <v>0</v>
      </c>
      <c r="W19" s="181">
        <v>0</v>
      </c>
      <c r="X19" s="181">
        <v>0</v>
      </c>
      <c r="Y19" s="180">
        <v>0</v>
      </c>
      <c r="Z19" s="216">
        <v>0</v>
      </c>
      <c r="AA19" s="1"/>
    </row>
    <row r="20" spans="2:27">
      <c r="B20" s="197"/>
      <c r="C20" s="209" t="s">
        <v>81</v>
      </c>
      <c r="D20" s="210" t="s">
        <v>273</v>
      </c>
      <c r="E20" s="212"/>
      <c r="F20" s="181">
        <v>0</v>
      </c>
      <c r="G20" s="181">
        <v>0</v>
      </c>
      <c r="H20" s="181">
        <v>0</v>
      </c>
      <c r="I20" s="181">
        <v>0</v>
      </c>
      <c r="J20" s="181">
        <f>+'Tabel Lampiran 7'!N24</f>
        <v>3724500</v>
      </c>
      <c r="K20" s="181">
        <f>+'Tabel Lampiran 7'!O24</f>
        <v>3974500</v>
      </c>
      <c r="L20" s="181">
        <f>+'Tabel Lampiran 7'!P24</f>
        <v>3724500</v>
      </c>
      <c r="M20" s="181">
        <f>+'Tabel Lampiran 7'!Q24</f>
        <v>3974500</v>
      </c>
      <c r="N20" s="181">
        <f>+'Tabel Lampiran 7'!R24</f>
        <v>3724500</v>
      </c>
      <c r="O20" s="181">
        <f>+'Tabel Lampiran 7'!S24</f>
        <v>3974500</v>
      </c>
      <c r="P20" s="181">
        <f>+'Tabel Lampiran 7'!X24</f>
        <v>3724500</v>
      </c>
      <c r="Q20" s="181">
        <f>+'Tabel Lampiran 7'!Y24</f>
        <v>3974500</v>
      </c>
      <c r="R20" s="181">
        <f>+'Tabel Lampiran 7'!Z24</f>
        <v>3724500</v>
      </c>
      <c r="S20" s="181">
        <f>+'Tabel Lampiran 7'!AA24</f>
        <v>3974500</v>
      </c>
      <c r="T20" s="181">
        <f>+'Tabel Lampiran 7'!AB24</f>
        <v>3350500</v>
      </c>
      <c r="U20" s="181">
        <f>+'Tabel Lampiran 7'!AC24</f>
        <v>3600500</v>
      </c>
      <c r="V20" s="181">
        <f>+'Tabel Lampiran 7'!AH24</f>
        <v>3350500</v>
      </c>
      <c r="W20" s="181">
        <f>+'Tabel Lampiran 7'!AI24</f>
        <v>3600500</v>
      </c>
      <c r="X20" s="181">
        <f>+'Tabel Lampiran 7'!AJ24</f>
        <v>3350500</v>
      </c>
      <c r="Y20" s="180">
        <f>+'Tabel Lampiran 7'!AK24</f>
        <v>3600500</v>
      </c>
      <c r="Z20" s="216">
        <f>+'Tabel Lampiran 7'!AL24</f>
        <v>3350500</v>
      </c>
      <c r="AA20" s="1"/>
    </row>
    <row r="21" spans="2:27">
      <c r="B21" s="223"/>
      <c r="C21" s="209" t="s">
        <v>81</v>
      </c>
      <c r="D21" s="210" t="s">
        <v>276</v>
      </c>
      <c r="E21" s="212"/>
      <c r="F21" s="213">
        <v>0</v>
      </c>
      <c r="G21" s="224">
        <v>0</v>
      </c>
      <c r="H21" s="224">
        <v>0</v>
      </c>
      <c r="I21" s="224">
        <v>0</v>
      </c>
      <c r="J21" s="213">
        <f>+'Tabel Lampiran 7'!N13</f>
        <v>4783918.5734374998</v>
      </c>
      <c r="K21" s="213">
        <f>+'Tabel Lampiran 7'!O13</f>
        <v>4783918.5734374998</v>
      </c>
      <c r="L21" s="213">
        <f>+'Tabel Lampiran 7'!P13</f>
        <v>4783918.5734374998</v>
      </c>
      <c r="M21" s="213">
        <f>+'Tabel Lampiran 7'!Q13</f>
        <v>4783918.5734374998</v>
      </c>
      <c r="N21" s="213">
        <f>+'Tabel Lampiran 7'!R13</f>
        <v>4783918.5734374998</v>
      </c>
      <c r="O21" s="213">
        <f>+'Tabel Lampiran 7'!S13</f>
        <v>4783918.5734374998</v>
      </c>
      <c r="P21" s="213">
        <f>+'Tabel Lampiran 7'!X13</f>
        <v>4783918.5734374998</v>
      </c>
      <c r="Q21" s="213">
        <f>+'Tabel Lampiran 7'!Y13</f>
        <v>4783918.5734374998</v>
      </c>
      <c r="R21" s="213">
        <f>+'Tabel Lampiran 7'!Z13</f>
        <v>4783918.5734374998</v>
      </c>
      <c r="S21" s="213">
        <f>+'Tabel Lampiran 7'!AA13</f>
        <v>0</v>
      </c>
      <c r="T21" s="213">
        <v>0</v>
      </c>
      <c r="U21" s="213">
        <v>0</v>
      </c>
      <c r="V21" s="213">
        <v>0</v>
      </c>
      <c r="W21" s="224">
        <v>0</v>
      </c>
      <c r="X21" s="224">
        <v>0</v>
      </c>
      <c r="Y21" s="225">
        <v>0</v>
      </c>
      <c r="Z21" s="216">
        <v>0</v>
      </c>
      <c r="AA21" s="1"/>
    </row>
    <row r="22" spans="2:27">
      <c r="B22" s="226"/>
      <c r="C22" s="198" t="s">
        <v>81</v>
      </c>
      <c r="D22" s="227" t="s">
        <v>90</v>
      </c>
      <c r="E22" s="215"/>
      <c r="F22" s="216">
        <v>0</v>
      </c>
      <c r="G22" s="213">
        <v>0</v>
      </c>
      <c r="H22" s="224">
        <v>0</v>
      </c>
      <c r="I22" s="224">
        <v>0</v>
      </c>
      <c r="J22" s="216">
        <f>+'Tabel Lampiran 7'!N14</f>
        <v>3587938.9300781251</v>
      </c>
      <c r="K22" s="216">
        <f>+'Tabel Lampiran 7'!O14</f>
        <v>3229145.0370703125</v>
      </c>
      <c r="L22" s="216">
        <f>+'Tabel Lampiran 7'!P14</f>
        <v>2870351.1440625004</v>
      </c>
      <c r="M22" s="216">
        <f>+'Tabel Lampiran 7'!Q14</f>
        <v>2511557.2510546879</v>
      </c>
      <c r="N22" s="216">
        <f>+'Tabel Lampiran 7'!R14</f>
        <v>2152763.3580468753</v>
      </c>
      <c r="O22" s="216">
        <f>+'Tabel Lampiran 7'!S14</f>
        <v>1793969.4650390628</v>
      </c>
      <c r="P22" s="216">
        <f>+'Tabel Lampiran 7'!X14</f>
        <v>1435175.5720312502</v>
      </c>
      <c r="Q22" s="216">
        <f>+'Tabel Lampiran 7'!Y14</f>
        <v>1076381.6790234377</v>
      </c>
      <c r="R22" s="216">
        <f>+'Tabel Lampiran 7'!Z14</f>
        <v>717587.78601562511</v>
      </c>
      <c r="S22" s="216">
        <v>0</v>
      </c>
      <c r="T22" s="216">
        <v>0</v>
      </c>
      <c r="U22" s="216">
        <v>0</v>
      </c>
      <c r="V22" s="216">
        <v>0</v>
      </c>
      <c r="W22" s="216">
        <v>0</v>
      </c>
      <c r="X22" s="216">
        <v>0</v>
      </c>
      <c r="Y22" s="362">
        <v>0</v>
      </c>
      <c r="Z22" s="216">
        <v>0</v>
      </c>
      <c r="AA22" s="1"/>
    </row>
    <row r="23" spans="2:27">
      <c r="B23" s="226"/>
      <c r="C23" s="198" t="s">
        <v>81</v>
      </c>
      <c r="D23" s="215" t="s">
        <v>277</v>
      </c>
      <c r="E23" s="215"/>
      <c r="F23" s="216">
        <f>SUM(F18:F22)</f>
        <v>40889625</v>
      </c>
      <c r="G23" s="216">
        <f t="shared" ref="G23:Z23" si="2">SUM(G18:G22)</f>
        <v>9156200</v>
      </c>
      <c r="H23" s="216">
        <f t="shared" si="2"/>
        <v>6618118.125</v>
      </c>
      <c r="I23" s="216">
        <f t="shared" si="2"/>
        <v>7031367.609375</v>
      </c>
      <c r="J23" s="216">
        <f t="shared" si="2"/>
        <v>12096357.503515625</v>
      </c>
      <c r="K23" s="216">
        <f t="shared" si="2"/>
        <v>11987563.610507812</v>
      </c>
      <c r="L23" s="216">
        <f t="shared" si="2"/>
        <v>11378769.717500001</v>
      </c>
      <c r="M23" s="216">
        <f t="shared" si="2"/>
        <v>11269975.824492188</v>
      </c>
      <c r="N23" s="216">
        <f t="shared" si="2"/>
        <v>10661181.931484375</v>
      </c>
      <c r="O23" s="216">
        <f t="shared" si="2"/>
        <v>10552388.038476564</v>
      </c>
      <c r="P23" s="216">
        <f t="shared" si="2"/>
        <v>9943594.145468751</v>
      </c>
      <c r="Q23" s="216">
        <f t="shared" si="2"/>
        <v>9834800.2524609379</v>
      </c>
      <c r="R23" s="216">
        <f t="shared" si="2"/>
        <v>9226006.3594531268</v>
      </c>
      <c r="S23" s="216">
        <f t="shared" si="2"/>
        <v>3974500</v>
      </c>
      <c r="T23" s="216">
        <f t="shared" si="2"/>
        <v>3350500</v>
      </c>
      <c r="U23" s="216">
        <f t="shared" si="2"/>
        <v>3600500</v>
      </c>
      <c r="V23" s="216">
        <f t="shared" si="2"/>
        <v>3350500</v>
      </c>
      <c r="W23" s="216">
        <f t="shared" si="2"/>
        <v>3600500</v>
      </c>
      <c r="X23" s="216">
        <f t="shared" si="2"/>
        <v>3350500</v>
      </c>
      <c r="Y23" s="362">
        <f t="shared" si="2"/>
        <v>3600500</v>
      </c>
      <c r="Z23" s="216">
        <f t="shared" si="2"/>
        <v>3350500</v>
      </c>
      <c r="AA23" s="1"/>
    </row>
    <row r="24" spans="2:27">
      <c r="B24" s="226"/>
      <c r="C24" s="198"/>
      <c r="D24" s="215" t="s">
        <v>278</v>
      </c>
      <c r="E24" s="215"/>
      <c r="F24" s="216">
        <f>+F23</f>
        <v>40889625</v>
      </c>
      <c r="G24" s="216">
        <f t="shared" ref="G24:I24" si="3">+G23</f>
        <v>9156200</v>
      </c>
      <c r="H24" s="216">
        <f t="shared" si="3"/>
        <v>6618118.125</v>
      </c>
      <c r="I24" s="216">
        <f t="shared" si="3"/>
        <v>7031367.609375</v>
      </c>
      <c r="J24" s="216">
        <f>+J20</f>
        <v>3724500</v>
      </c>
      <c r="K24" s="216">
        <f t="shared" ref="K24:Z24" si="4">+K20</f>
        <v>3974500</v>
      </c>
      <c r="L24" s="216">
        <f t="shared" si="4"/>
        <v>3724500</v>
      </c>
      <c r="M24" s="216">
        <f t="shared" si="4"/>
        <v>3974500</v>
      </c>
      <c r="N24" s="216">
        <f t="shared" si="4"/>
        <v>3724500</v>
      </c>
      <c r="O24" s="216">
        <f t="shared" si="4"/>
        <v>3974500</v>
      </c>
      <c r="P24" s="216">
        <f t="shared" si="4"/>
        <v>3724500</v>
      </c>
      <c r="Q24" s="216">
        <f t="shared" si="4"/>
        <v>3974500</v>
      </c>
      <c r="R24" s="216">
        <f t="shared" si="4"/>
        <v>3724500</v>
      </c>
      <c r="S24" s="216">
        <f t="shared" si="4"/>
        <v>3974500</v>
      </c>
      <c r="T24" s="216">
        <f t="shared" si="4"/>
        <v>3350500</v>
      </c>
      <c r="U24" s="216">
        <f t="shared" si="4"/>
        <v>3600500</v>
      </c>
      <c r="V24" s="216">
        <f t="shared" si="4"/>
        <v>3350500</v>
      </c>
      <c r="W24" s="216">
        <f t="shared" si="4"/>
        <v>3600500</v>
      </c>
      <c r="X24" s="216">
        <f t="shared" si="4"/>
        <v>3350500</v>
      </c>
      <c r="Y24" s="362">
        <f t="shared" si="4"/>
        <v>3600500</v>
      </c>
      <c r="Z24" s="216">
        <f t="shared" si="4"/>
        <v>3350500</v>
      </c>
      <c r="AA24" s="1"/>
    </row>
    <row r="25" spans="2:27">
      <c r="B25" s="228" t="s">
        <v>236</v>
      </c>
      <c r="C25" s="192" t="s">
        <v>250</v>
      </c>
      <c r="D25" s="229"/>
      <c r="E25" s="230"/>
      <c r="F25" s="231">
        <f>+F15-F23</f>
        <v>0</v>
      </c>
      <c r="G25" s="231">
        <f t="shared" ref="G25:Z25" si="5">+G15-G23</f>
        <v>0</v>
      </c>
      <c r="H25" s="231">
        <f t="shared" si="5"/>
        <v>1108125</v>
      </c>
      <c r="I25" s="231">
        <f t="shared" si="5"/>
        <v>751992.609375</v>
      </c>
      <c r="J25" s="231">
        <f t="shared" si="5"/>
        <v>31658142.496484376</v>
      </c>
      <c r="K25" s="231">
        <f t="shared" si="5"/>
        <v>29262436.389492188</v>
      </c>
      <c r="L25" s="231">
        <f t="shared" si="5"/>
        <v>33621230.282499999</v>
      </c>
      <c r="M25" s="231">
        <f t="shared" si="5"/>
        <v>48730024.175507814</v>
      </c>
      <c r="N25" s="231">
        <f t="shared" si="5"/>
        <v>56838818.068515629</v>
      </c>
      <c r="O25" s="231">
        <f t="shared" si="5"/>
        <v>64447611.961523436</v>
      </c>
      <c r="P25" s="231">
        <f t="shared" si="5"/>
        <v>72556405.854531243</v>
      </c>
      <c r="Q25" s="231">
        <f t="shared" si="5"/>
        <v>80165199.747539058</v>
      </c>
      <c r="R25" s="231">
        <f t="shared" si="5"/>
        <v>88273993.640546873</v>
      </c>
      <c r="S25" s="231">
        <f t="shared" si="5"/>
        <v>86025500</v>
      </c>
      <c r="T25" s="231">
        <f t="shared" si="5"/>
        <v>79149500</v>
      </c>
      <c r="U25" s="231">
        <f t="shared" si="5"/>
        <v>63899500</v>
      </c>
      <c r="V25" s="231">
        <f t="shared" si="5"/>
        <v>49149500</v>
      </c>
      <c r="W25" s="231">
        <f t="shared" si="5"/>
        <v>33899500</v>
      </c>
      <c r="X25" s="231">
        <f t="shared" si="5"/>
        <v>86649500</v>
      </c>
      <c r="Y25" s="364">
        <f t="shared" si="5"/>
        <v>71399500</v>
      </c>
      <c r="Z25" s="231">
        <f t="shared" si="5"/>
        <v>64149500</v>
      </c>
      <c r="AA25" s="1"/>
    </row>
    <row r="26" spans="2:27">
      <c r="B26" s="223" t="s">
        <v>238</v>
      </c>
      <c r="C26" s="210" t="s">
        <v>72</v>
      </c>
      <c r="D26" s="232"/>
      <c r="E26" s="233"/>
      <c r="F26" s="222">
        <f>+F16-F24</f>
        <v>-40889625</v>
      </c>
      <c r="G26" s="222">
        <f t="shared" ref="G26:Z26" si="6">+G16-G24</f>
        <v>-9156200</v>
      </c>
      <c r="H26" s="222">
        <f t="shared" si="6"/>
        <v>-6618118.125</v>
      </c>
      <c r="I26" s="222">
        <f t="shared" si="6"/>
        <v>-7031367.609375</v>
      </c>
      <c r="J26" s="222">
        <f t="shared" si="6"/>
        <v>33775500</v>
      </c>
      <c r="K26" s="222">
        <f t="shared" si="6"/>
        <v>37275500</v>
      </c>
      <c r="L26" s="222">
        <f t="shared" si="6"/>
        <v>41275500</v>
      </c>
      <c r="M26" s="222">
        <f t="shared" si="6"/>
        <v>56025500</v>
      </c>
      <c r="N26" s="222">
        <f t="shared" si="6"/>
        <v>63775500</v>
      </c>
      <c r="O26" s="222">
        <f t="shared" si="6"/>
        <v>71025500</v>
      </c>
      <c r="P26" s="222">
        <f t="shared" si="6"/>
        <v>78775500</v>
      </c>
      <c r="Q26" s="222">
        <f t="shared" si="6"/>
        <v>86025500</v>
      </c>
      <c r="R26" s="222">
        <f t="shared" si="6"/>
        <v>93775500</v>
      </c>
      <c r="S26" s="222">
        <f t="shared" si="6"/>
        <v>86025500</v>
      </c>
      <c r="T26" s="222">
        <f t="shared" si="6"/>
        <v>79149500</v>
      </c>
      <c r="U26" s="222">
        <f t="shared" si="6"/>
        <v>63899500</v>
      </c>
      <c r="V26" s="222">
        <f t="shared" si="6"/>
        <v>49149500</v>
      </c>
      <c r="W26" s="222">
        <f t="shared" si="6"/>
        <v>33899500</v>
      </c>
      <c r="X26" s="222">
        <f t="shared" si="6"/>
        <v>86649500</v>
      </c>
      <c r="Y26" s="167">
        <f t="shared" si="6"/>
        <v>71399500</v>
      </c>
      <c r="Z26" s="216">
        <f t="shared" si="6"/>
        <v>64149500</v>
      </c>
      <c r="AA26" s="1"/>
    </row>
    <row r="27" spans="2:27">
      <c r="B27" s="226"/>
      <c r="C27" s="210" t="s">
        <v>283</v>
      </c>
      <c r="D27" s="232"/>
      <c r="E27" s="233"/>
      <c r="F27" s="83">
        <f>1/(1+0.075)^0</f>
        <v>1</v>
      </c>
      <c r="G27" s="83">
        <f>1/(1+0.075)^1</f>
        <v>0.93023255813953487</v>
      </c>
      <c r="H27" s="83">
        <f>1/(1+0.075)^2</f>
        <v>0.86533261222282321</v>
      </c>
      <c r="I27" s="83">
        <f>1/(1+0.075)^3</f>
        <v>0.80496056950960304</v>
      </c>
      <c r="J27" s="83">
        <f>1/(1+0.075)^6</f>
        <v>0.64796151846522443</v>
      </c>
      <c r="K27" s="83">
        <f>1/(1+0.075)^7</f>
        <v>0.60275490089788319</v>
      </c>
      <c r="L27" s="83">
        <f>1/(1+0.075)^8</f>
        <v>0.56070223339337966</v>
      </c>
      <c r="M27" s="83">
        <f>1/(1+0.075)^9</f>
        <v>0.52158347292407414</v>
      </c>
      <c r="N27" s="83">
        <f>1/(1+0.075)^10</f>
        <v>0.48519392830146441</v>
      </c>
      <c r="O27" s="83">
        <f>1/(1+0.075)^11</f>
        <v>0.45134318911764126</v>
      </c>
      <c r="P27" s="83">
        <f>1/(1+0.075)^12</f>
        <v>0.41985412941175931</v>
      </c>
      <c r="Q27" s="83">
        <f>1/(1+0.075)^13</f>
        <v>0.39056198084814819</v>
      </c>
      <c r="R27" s="83">
        <f>1/(1+0.075)^14</f>
        <v>0.36331347055641694</v>
      </c>
      <c r="S27" s="83">
        <f>1/(1+0.075)^15</f>
        <v>0.33796601912224833</v>
      </c>
      <c r="T27" s="83">
        <f>1/(1+0.075)^16</f>
        <v>0.31438699453232405</v>
      </c>
      <c r="U27" s="83">
        <f>1/(1+0.075)^17</f>
        <v>0.29245301816960378</v>
      </c>
      <c r="V27" s="83">
        <f>1/(1+0.075)^18</f>
        <v>0.27204931922753844</v>
      </c>
      <c r="W27" s="83">
        <f>1/(1+0.075)^19</f>
        <v>0.25306913416515198</v>
      </c>
      <c r="X27" s="83">
        <f>1/(1+0.075)^20</f>
        <v>0.23541314806060654</v>
      </c>
      <c r="Y27" s="365">
        <f>1/(1+0.075)^21</f>
        <v>0.21898897494009908</v>
      </c>
      <c r="Z27" s="83">
        <f>1/(1+0.075)^22</f>
        <v>0.20371067436288287</v>
      </c>
      <c r="AA27" s="1"/>
    </row>
    <row r="28" spans="2:27">
      <c r="B28" s="226"/>
      <c r="C28" s="210" t="s">
        <v>73</v>
      </c>
      <c r="D28" s="232"/>
      <c r="E28" s="233"/>
      <c r="F28" s="181">
        <f>+F27*F26</f>
        <v>-40889625</v>
      </c>
      <c r="G28" s="181">
        <f t="shared" ref="G28:Z28" si="7">+G27*G26</f>
        <v>-8517395.3488372099</v>
      </c>
      <c r="H28" s="181">
        <f t="shared" si="7"/>
        <v>-5726873.4451054623</v>
      </c>
      <c r="I28" s="181">
        <f t="shared" si="7"/>
        <v>-5659973.6752738757</v>
      </c>
      <c r="J28" s="181">
        <f t="shared" si="7"/>
        <v>21885224.266922187</v>
      </c>
      <c r="K28" s="181">
        <f t="shared" si="7"/>
        <v>22467990.308419045</v>
      </c>
      <c r="L28" s="181">
        <f t="shared" si="7"/>
        <v>23143265.034428444</v>
      </c>
      <c r="M28" s="181">
        <f t="shared" si="7"/>
        <v>29221974.862307716</v>
      </c>
      <c r="N28" s="181">
        <f t="shared" si="7"/>
        <v>30943485.374390043</v>
      </c>
      <c r="O28" s="181">
        <f t="shared" si="7"/>
        <v>32056875.678675029</v>
      </c>
      <c r="P28" s="181">
        <f t="shared" si="7"/>
        <v>33074218.971476045</v>
      </c>
      <c r="Q28" s="181">
        <f t="shared" si="7"/>
        <v>33598289.683452375</v>
      </c>
      <c r="R28" s="181">
        <f t="shared" si="7"/>
        <v>34069902.358163275</v>
      </c>
      <c r="S28" s="181">
        <f t="shared" si="7"/>
        <v>29073695.778000973</v>
      </c>
      <c r="T28" s="181">
        <f t="shared" si="7"/>
        <v>24883573.423736181</v>
      </c>
      <c r="U28" s="181">
        <f t="shared" si="7"/>
        <v>18687601.634528596</v>
      </c>
      <c r="V28" s="181">
        <f t="shared" si="7"/>
        <v>13371088.015373901</v>
      </c>
      <c r="W28" s="181">
        <f t="shared" si="7"/>
        <v>8578917.1136315688</v>
      </c>
      <c r="X28" s="181">
        <f t="shared" si="7"/>
        <v>20398431.572877526</v>
      </c>
      <c r="Y28" s="180">
        <f t="shared" si="7"/>
        <v>15635703.316235604</v>
      </c>
      <c r="Z28" s="216">
        <f t="shared" si="7"/>
        <v>13067937.905041754</v>
      </c>
      <c r="AA28" s="1"/>
    </row>
    <row r="29" spans="2:27">
      <c r="B29" s="226"/>
      <c r="C29" s="210" t="s">
        <v>74</v>
      </c>
      <c r="D29" s="232"/>
      <c r="E29" s="233"/>
      <c r="F29" s="181">
        <f>+F28</f>
        <v>-40889625</v>
      </c>
      <c r="G29" s="182">
        <f>+F29+G28</f>
        <v>-49407020.348837212</v>
      </c>
      <c r="H29" s="182">
        <f>+G29+H28</f>
        <v>-55133893.793942675</v>
      </c>
      <c r="I29" s="182">
        <f t="shared" ref="I29:Z29" si="8">+H29+I28</f>
        <v>-60793867.469216548</v>
      </c>
      <c r="J29" s="182">
        <f t="shared" si="8"/>
        <v>-38908643.202294365</v>
      </c>
      <c r="K29" s="182">
        <f t="shared" si="8"/>
        <v>-16440652.89387532</v>
      </c>
      <c r="L29" s="182">
        <f t="shared" si="8"/>
        <v>6702612.1405531242</v>
      </c>
      <c r="M29" s="182">
        <f t="shared" si="8"/>
        <v>35924587.002860844</v>
      </c>
      <c r="N29" s="182">
        <f t="shared" si="8"/>
        <v>66868072.377250887</v>
      </c>
      <c r="O29" s="182">
        <f t="shared" si="8"/>
        <v>98924948.055925921</v>
      </c>
      <c r="P29" s="182">
        <f t="shared" si="8"/>
        <v>131999167.02740197</v>
      </c>
      <c r="Q29" s="182">
        <f t="shared" si="8"/>
        <v>165597456.71085435</v>
      </c>
      <c r="R29" s="182">
        <f t="shared" si="8"/>
        <v>199667359.06901762</v>
      </c>
      <c r="S29" s="182">
        <f t="shared" si="8"/>
        <v>228741054.8470186</v>
      </c>
      <c r="T29" s="182">
        <f t="shared" si="8"/>
        <v>253624628.27075478</v>
      </c>
      <c r="U29" s="182">
        <f t="shared" si="8"/>
        <v>272312229.90528339</v>
      </c>
      <c r="V29" s="182">
        <f t="shared" si="8"/>
        <v>285683317.92065728</v>
      </c>
      <c r="W29" s="182">
        <f t="shared" si="8"/>
        <v>294262235.03428882</v>
      </c>
      <c r="X29" s="182">
        <f t="shared" si="8"/>
        <v>314660666.60716635</v>
      </c>
      <c r="Y29" s="179">
        <f t="shared" si="8"/>
        <v>330296369.92340195</v>
      </c>
      <c r="Z29" s="216">
        <f t="shared" si="8"/>
        <v>343364307.82844371</v>
      </c>
      <c r="AA29" s="1"/>
    </row>
    <row r="30" spans="2:27">
      <c r="B30" s="379" t="s">
        <v>251</v>
      </c>
      <c r="C30" s="380" t="s">
        <v>93</v>
      </c>
      <c r="D30" s="381"/>
      <c r="E30" s="382"/>
      <c r="F30" s="383" t="s">
        <v>8</v>
      </c>
      <c r="G30" s="384" t="s">
        <v>8</v>
      </c>
      <c r="H30" s="384" t="s">
        <v>8</v>
      </c>
      <c r="I30" s="235" t="s">
        <v>8</v>
      </c>
      <c r="J30" s="234" t="s">
        <v>211</v>
      </c>
      <c r="K30" s="234" t="s">
        <v>8</v>
      </c>
      <c r="L30" s="234" t="s">
        <v>8</v>
      </c>
      <c r="M30" s="234" t="s">
        <v>8</v>
      </c>
      <c r="N30" s="234" t="s">
        <v>8</v>
      </c>
      <c r="O30" s="234" t="s">
        <v>8</v>
      </c>
      <c r="P30" s="234" t="s">
        <v>8</v>
      </c>
      <c r="Q30" s="234" t="s">
        <v>8</v>
      </c>
      <c r="R30" s="234" t="s">
        <v>8</v>
      </c>
      <c r="S30" s="234" t="s">
        <v>8</v>
      </c>
      <c r="T30" s="234" t="s">
        <v>8</v>
      </c>
      <c r="U30" s="234" t="s">
        <v>8</v>
      </c>
      <c r="V30" s="234" t="s">
        <v>8</v>
      </c>
      <c r="W30" s="234" t="s">
        <v>8</v>
      </c>
      <c r="X30" s="234" t="s">
        <v>8</v>
      </c>
      <c r="Y30" s="366" t="s">
        <v>8</v>
      </c>
      <c r="Z30" s="254" t="s">
        <v>8</v>
      </c>
      <c r="AA30" s="1"/>
    </row>
    <row r="31" spans="2:27">
      <c r="B31" s="373"/>
      <c r="C31" s="385" t="s">
        <v>321</v>
      </c>
      <c r="D31" s="386"/>
      <c r="E31" s="386"/>
      <c r="F31" s="387"/>
      <c r="G31" s="388"/>
      <c r="H31" s="356">
        <f>+'Tabel Lampiran 7'!F44</f>
        <v>77.64845486648332</v>
      </c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8"/>
      <c r="Z31" s="378"/>
      <c r="AA31" s="1"/>
    </row>
    <row r="32" spans="2:27">
      <c r="B32" s="236" t="s">
        <v>8</v>
      </c>
      <c r="C32" s="94" t="s">
        <v>75</v>
      </c>
      <c r="D32" s="94"/>
      <c r="E32" s="94"/>
      <c r="F32" s="101"/>
      <c r="G32" s="237"/>
      <c r="H32" s="243">
        <f>+Z29</f>
        <v>343364307.82844371</v>
      </c>
      <c r="I32" s="9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>
      <c r="B33" s="91" t="s">
        <v>8</v>
      </c>
      <c r="C33" s="244" t="s">
        <v>76</v>
      </c>
      <c r="D33" s="89"/>
      <c r="E33" s="89"/>
      <c r="F33" s="89"/>
      <c r="G33" s="238"/>
      <c r="H33" s="239" t="e">
        <f>+IRR(F26:Z26,1)</f>
        <v>#DIV/0!</v>
      </c>
      <c r="I33" s="9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>
      <c r="B34" s="96" t="s">
        <v>8</v>
      </c>
      <c r="C34" s="94" t="s">
        <v>77</v>
      </c>
      <c r="D34" s="94"/>
      <c r="E34" s="94"/>
      <c r="F34" s="89"/>
      <c r="G34" s="237"/>
      <c r="H34" s="83">
        <f>SUM(F15:Z15)/SUM(F23:Z23)</f>
        <v>6.516969593160284</v>
      </c>
      <c r="I34" s="9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>
      <c r="B35" s="91" t="s">
        <v>8</v>
      </c>
      <c r="C35" s="89" t="s">
        <v>298</v>
      </c>
      <c r="D35" s="89"/>
      <c r="E35" s="89"/>
      <c r="F35" s="89"/>
      <c r="G35" s="238"/>
      <c r="H35" s="240" t="s">
        <v>341</v>
      </c>
      <c r="I35" s="9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>
      <c r="B36" s="241" t="s">
        <v>8</v>
      </c>
      <c r="C36" s="242" t="s">
        <v>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</sheetData>
  <mergeCells count="5">
    <mergeCell ref="C8:D8"/>
    <mergeCell ref="B6:I6"/>
    <mergeCell ref="J6:O6"/>
    <mergeCell ref="P6:U6"/>
    <mergeCell ref="V6:Z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asus</cp:lastModifiedBy>
  <dcterms:created xsi:type="dcterms:W3CDTF">2021-08-06T07:55:48Z</dcterms:created>
  <dcterms:modified xsi:type="dcterms:W3CDTF">2025-10-30T08:04:13Z</dcterms:modified>
</cp:coreProperties>
</file>