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4" activeTab="4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Q10" i="1"/>
  <c r="R10" i="1" s="1"/>
  <c r="H12" i="4"/>
  <c r="J12" i="4" s="1"/>
  <c r="H10" i="4"/>
  <c r="G11" i="2"/>
  <c r="F13" i="5" s="1"/>
  <c r="I17" i="5"/>
  <c r="J17" i="5" s="1"/>
  <c r="J15" i="5" l="1"/>
  <c r="H13" i="4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l="1"/>
  <c r="J18" i="5" s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H17" i="4"/>
  <c r="J17" i="4" s="1"/>
  <c r="H16" i="4"/>
  <c r="I13" i="5"/>
  <c r="R12" i="1"/>
  <c r="F23" i="7" s="1"/>
  <c r="F32" i="7" s="1"/>
  <c r="H10" i="6" l="1"/>
  <c r="I10" i="6" s="1"/>
  <c r="I13" i="6" s="1"/>
  <c r="I19" i="5"/>
  <c r="F25" i="7"/>
  <c r="H11" i="6"/>
  <c r="I11" i="6" s="1"/>
  <c r="J13" i="5"/>
  <c r="J19" i="5" s="1"/>
  <c r="J16" i="4"/>
  <c r="J18" i="4" s="1"/>
  <c r="J19" i="4" s="1"/>
  <c r="H18" i="4"/>
  <c r="H19" i="4" s="1"/>
  <c r="G23" i="7"/>
  <c r="G32" i="7" s="1"/>
  <c r="H11" i="8"/>
  <c r="H19" i="8" s="1"/>
  <c r="H13" i="6" l="1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<sst xmlns="http://schemas.openxmlformats.org/spreadsheetml/2006/main" count="460" uniqueCount="204">
  <si>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</si>
  <si>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</si>
  <si>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</si>
  <si>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</si>
  <si>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</si>
  <si>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</si>
  <si>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</si>
  <si>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</si>
  <si>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</si>
  <si>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</si>
  <si>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</si>
  <si>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</si>
  <si>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</si>
  <si>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</si>
  <si>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</si>
  <si>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</si>
  <si>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</si>
  <si>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</si>
  <si>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</si>
  <si>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</si>
  <si>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</si>
  <si>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</si>
  <si>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</si>
  <si>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</si>
  <si>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</si>
  <si>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</si>
  <si>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</si>
  <si>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</si>
  <si>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</si>
  <si>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</si>
  <si>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</si>
  <si>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</si>
  <si>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</si>
  <si>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</si>
  <si>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</si>
  <si>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</si>
  <si>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</si>
  <si>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</si>
  <si>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</si>
  <si>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</si>
  <si>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</si>
  <si>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</si>
  <si>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</si>
  <si>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</si>
  <si>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</si>
  <si>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</si>
  <si>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</si>
  <si>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</si>
  <si>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</si>
  <si>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</si>
  <si>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</si>
  <si>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</si>
  <si>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</si>
  <si>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</si>
  <si>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</si>
  <si>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</si>
  <si>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</si>
  <si>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</si>
  <si>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</si>
  <si>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</si>
  <si>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</si>
  <si>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</si>
  <si>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</si>
  <si>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</si>
  <si>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</si>
  <si>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</si>
  <si>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</si>
  <si>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</si>
  <si>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</si>
  <si>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</si>
  <si>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</si>
  <si>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</si>
  <si>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</si>
  <si>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</si>
  <si>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</si>
  <si>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</si>
  <si>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</si>
  <si>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</si>
  <si>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</si>
  <si>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</si>
  <si>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</si>
  <si>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</si>
  <si>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</si>
  <si>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</si>
  <si>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</si>
  <si>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</si>
  <si>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</si>
  <si>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</si>
  <si>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</si>
  <si>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</si>
  <si>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</si>
  <si>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</si>
  <si>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</si>
  <si>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</si>
  <si>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</si>
  <si>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</si>
  <si>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</si>
  <si>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</si>
  <si>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</si>
  <si>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</si>
  <si>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</si>
  <si>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</si>
  <si>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</si>
  <si>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</si>
  <si>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</si>
  <si>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</si>
  <si>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</si>
  <si>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</si>
  <si>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</si>
  <si>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</si>
  <si>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</si>
  <si>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</si>
  <si>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</si>
  <si>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</si>
  <si>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</si>
  <si>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</si>
  <si>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</si>
  <si>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</si>
  <si>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</si>
  <si>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</si>
  <si>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</si>
  <si>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</si>
  <si>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</si>
  <si>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</si>
  <si>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</si>
  <si>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</si>
  <si>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</si>
  <si>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</si>
  <si>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</si>
  <si>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</si>
  <si>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</si>
  <si>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</si>
  <si>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</si>
  <si>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</si>
  <si>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</si>
  <si>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</si>
  <si>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</si>
  <si>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</si>
  <si>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</si>
  <si>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</si>
  <si>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</si>
  <si>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</si>
  <si>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</si>
  <si>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</si>
  <si>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</si>
  <si>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</si>
  <si>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</si>
  <si>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</si>
  <si>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</si>
  <si>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</si>
  <si>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</si>
  <si>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</si>
  <si>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</si>
  <si>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</si>
  <si>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</si>
  <si>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</si>
  <si>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</si>
  <si>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</si>
  <si>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</si>
  <si>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</si>
  <si>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</si>
  <si>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</si>
  <si>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</si>
  <si>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</si>
  <si>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</si>
  <si>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</si>
  <si>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</si>
  <si>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</si>
  <si>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</si>
  <si>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</si>
  <si>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</si>
  <si>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</si>
  <si>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</si>
  <si>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</si>
  <si>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</si>
  <si>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</si>
  <si>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</si>
  <si>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Total 2</t>
  </si>
  <si>
    <t>Lahan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</si>
  <si>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</si>
  <si>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</si>
  <si>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</si>
  <si>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</si>
  <si>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</si>
  <si>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</si>
  <si>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</si>
  <si>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</si>
  <si>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</si>
  <si>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</si>
  <si>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-  Pengangkut dorong</t>
  </si>
  <si>
    <t>Usaha Pedagang Pengumpul Kopi</t>
  </si>
  <si>
    <t>Perdagangan</t>
  </si>
  <si>
    <t>Biji kopi kering</t>
  </si>
  <si>
    <t>2 ton biji kopi kering/bulan</t>
  </si>
  <si>
    <t>Rata-rata penjualan/Siklus Produksi (4 bulan)</t>
  </si>
  <si>
    <t>Penimbangan</t>
  </si>
  <si>
    <t>Penyimpanan</t>
  </si>
  <si>
    <t>-  Gudang Penyimpanan</t>
  </si>
  <si>
    <t>-  Timbangan</t>
  </si>
  <si>
    <t>Transportasi</t>
  </si>
  <si>
    <t>Rp/bulan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</si>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</sst>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54296875" customWidth="1"/>
    <col min="18" max="18" width="13.45312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191</v>
      </c>
    </row>
    <row r="4" spans="2:29" x14ac:dyDescent="0.25">
      <c r="B4" t="s">
        <v>2</v>
      </c>
      <c r="D4" s="72" t="s">
        <v>12</v>
      </c>
      <c r="H4" t="s">
        <v>190</v>
      </c>
    </row>
    <row r="5" spans="2:29" x14ac:dyDescent="0.25">
      <c r="B5" t="s">
        <v>175</v>
      </c>
      <c r="D5" s="72" t="s">
        <v>12</v>
      </c>
      <c r="H5" t="s">
        <v>193</v>
      </c>
    </row>
    <row r="7" spans="2:29" x14ac:dyDescent="0.25">
      <c r="B7" s="157" t="s">
        <v>194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25" t="s">
        <v>6</v>
      </c>
      <c r="I8" s="158" t="s">
        <v>7</v>
      </c>
      <c r="J8" s="158"/>
      <c r="K8" s="159" t="s">
        <v>8</v>
      </c>
      <c r="L8" s="160"/>
      <c r="M8" s="159" t="s">
        <v>144</v>
      </c>
      <c r="N8" s="161"/>
      <c r="O8" s="161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192</v>
      </c>
      <c r="D10" s="122"/>
      <c r="E10" s="122"/>
      <c r="F10" s="122"/>
      <c r="G10" s="122"/>
      <c r="H10" s="120">
        <v>2000</v>
      </c>
      <c r="I10" s="152" t="s">
        <v>143</v>
      </c>
      <c r="J10" s="153"/>
      <c r="K10" s="120">
        <v>70000</v>
      </c>
      <c r="L10" s="107"/>
      <c r="M10" s="134" t="s">
        <v>146</v>
      </c>
      <c r="N10" s="97"/>
      <c r="O10" s="97"/>
      <c r="P10" s="144">
        <v>1</v>
      </c>
      <c r="Q10" s="135">
        <f>+H10*K10</f>
        <v>140000000</v>
      </c>
      <c r="R10" s="124">
        <f>4*Q10</f>
        <v>560000000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2"/>
      <c r="J11" s="153"/>
      <c r="K11" s="154"/>
      <c r="L11" s="155"/>
      <c r="M11" s="154"/>
      <c r="N11" s="156"/>
      <c r="O11" s="156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560000000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C24" sqref="C24"/>
    </sheetView>
  </sheetViews>
  <sheetFormatPr defaultRowHeight="14.5" x14ac:dyDescent="0.35"/>
  <cols>
    <col min="2" max="2" width="5.54296875" customWidth="1"/>
    <col min="3" max="3" width="24.54296875" customWidth="1"/>
    <col min="4" max="4" width="2.54296875" customWidth="1"/>
    <col min="5" max="6" width="9.1796875" hidden="1" customWidth="1"/>
    <col min="7" max="7" width="10.453125" customWidth="1"/>
    <col min="8" max="8" width="19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191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190</v>
      </c>
      <c r="Q4" s="1"/>
      <c r="R4" s="1"/>
    </row>
    <row r="5" spans="2:18" x14ac:dyDescent="0.25">
      <c r="B5" s="1" t="s">
        <v>175</v>
      </c>
      <c r="C5" s="1"/>
      <c r="D5" s="88" t="s">
        <v>12</v>
      </c>
      <c r="G5" t="s">
        <v>193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201</v>
      </c>
      <c r="H7" s="91" t="s">
        <v>7</v>
      </c>
    </row>
    <row r="8" spans="2:18" x14ac:dyDescent="0.25">
      <c r="B8" s="83" t="s">
        <v>25</v>
      </c>
      <c r="C8" s="75" t="s">
        <v>195</v>
      </c>
      <c r="D8" s="76"/>
      <c r="F8" s="76"/>
      <c r="G8" s="81">
        <v>10</v>
      </c>
      <c r="H8" s="129" t="s">
        <v>78</v>
      </c>
    </row>
    <row r="9" spans="2:18" x14ac:dyDescent="0.25">
      <c r="B9" s="84" t="s">
        <v>28</v>
      </c>
      <c r="C9" s="77" t="s">
        <v>174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196</v>
      </c>
      <c r="D10" s="137"/>
      <c r="E10" s="101"/>
      <c r="F10" s="137"/>
      <c r="G10" s="138">
        <v>15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1">
        <f>SUM(G8:G10)</f>
        <v>35</v>
      </c>
      <c r="H11" s="130" t="s">
        <v>78</v>
      </c>
    </row>
    <row r="12" spans="2:18" x14ac:dyDescent="0.25">
      <c r="B12" t="s">
        <v>145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opLeftCell="A3"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191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190</v>
      </c>
    </row>
    <row r="6" spans="2:7" ht="15.75" x14ac:dyDescent="0.25">
      <c r="B6" s="6" t="s">
        <v>175</v>
      </c>
      <c r="C6" s="6"/>
      <c r="D6" s="6"/>
      <c r="E6" s="65" t="s">
        <v>12</v>
      </c>
      <c r="F6" t="s">
        <v>193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4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148</v>
      </c>
      <c r="D13" s="23"/>
      <c r="E13" s="23"/>
      <c r="F13" s="66">
        <v>4</v>
      </c>
      <c r="G13" s="9" t="s">
        <v>29</v>
      </c>
    </row>
    <row r="14" spans="2:7" ht="15" x14ac:dyDescent="0.25">
      <c r="B14" s="26" t="s">
        <v>35</v>
      </c>
      <c r="C14" s="22" t="s">
        <v>147</v>
      </c>
      <c r="D14" s="23"/>
      <c r="E14" s="23"/>
      <c r="F14" s="19">
        <v>1</v>
      </c>
      <c r="G14" s="9" t="s">
        <v>36</v>
      </c>
    </row>
    <row r="15" spans="2:7" ht="15" x14ac:dyDescent="0.25">
      <c r="B15" s="68" t="s">
        <v>37</v>
      </c>
      <c r="C15" s="13" t="s">
        <v>149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2" t="s">
        <v>38</v>
      </c>
      <c r="E16" s="163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192</v>
      </c>
      <c r="E17" s="23"/>
      <c r="F17" s="67">
        <f>+'Tabel Lampiran 1'!H10</f>
        <v>2000</v>
      </c>
      <c r="G17" s="9" t="s">
        <v>150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3" t="s">
        <v>38</v>
      </c>
      <c r="E19" s="163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192</v>
      </c>
      <c r="E20" s="23"/>
      <c r="F20" s="67">
        <f>+'Tabel Lampiran 1'!K10</f>
        <v>70000</v>
      </c>
      <c r="G20" s="9" t="s">
        <v>151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152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152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ht="15" x14ac:dyDescent="0.25">
      <c r="B35" s="17"/>
      <c r="C35" s="17"/>
      <c r="D35" s="17"/>
      <c r="E35" s="17"/>
      <c r="F35" s="17"/>
      <c r="G35" s="17"/>
    </row>
    <row r="36" spans="2:7" ht="15" x14ac:dyDescent="0.2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2.7265625" customWidth="1"/>
    <col min="4" max="4" width="3" customWidth="1"/>
    <col min="5" max="5" width="9.1796875" customWidth="1"/>
    <col min="6" max="6" width="10.54296875" customWidth="1"/>
    <col min="7" max="7" width="11.453125" customWidth="1"/>
    <col min="8" max="8" width="13.453125" customWidth="1"/>
    <col min="9" max="9" width="10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191</v>
      </c>
    </row>
    <row r="5" spans="2:10" x14ac:dyDescent="0.25">
      <c r="B5" s="1" t="s">
        <v>2</v>
      </c>
      <c r="C5" s="1"/>
      <c r="D5" s="37" t="s">
        <v>12</v>
      </c>
      <c r="E5" t="s">
        <v>190</v>
      </c>
    </row>
    <row r="6" spans="2:10" x14ac:dyDescent="0.25">
      <c r="B6" s="1" t="s">
        <v>175</v>
      </c>
      <c r="C6" s="4"/>
      <c r="D6" s="37" t="s">
        <v>12</v>
      </c>
      <c r="E6" t="s">
        <v>193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202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5" t="s">
        <v>25</v>
      </c>
      <c r="C10" s="145" t="s">
        <v>178</v>
      </c>
      <c r="D10" s="44"/>
      <c r="E10" s="146">
        <v>50</v>
      </c>
      <c r="F10" s="9" t="s">
        <v>69</v>
      </c>
      <c r="G10" s="149">
        <v>1500000</v>
      </c>
      <c r="H10" s="69">
        <f>+E10*G10</f>
        <v>75000000</v>
      </c>
      <c r="I10" s="148" t="s">
        <v>146</v>
      </c>
      <c r="J10" s="147" t="s">
        <v>146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197</v>
      </c>
      <c r="D12" s="24"/>
      <c r="E12" s="19">
        <v>100</v>
      </c>
      <c r="F12" s="9" t="s">
        <v>69</v>
      </c>
      <c r="G12" s="67">
        <v>500000</v>
      </c>
      <c r="H12" s="69">
        <f>+E12*G12</f>
        <v>50000000</v>
      </c>
      <c r="I12" s="19">
        <v>10</v>
      </c>
      <c r="J12" s="67">
        <f>+H12/I12</f>
        <v>5000000</v>
      </c>
    </row>
    <row r="13" spans="2:10" x14ac:dyDescent="0.25">
      <c r="B13" s="22"/>
      <c r="C13" s="33" t="s">
        <v>177</v>
      </c>
      <c r="D13" s="36"/>
      <c r="E13" s="19"/>
      <c r="F13" s="9" t="s">
        <v>13</v>
      </c>
      <c r="G13" s="19"/>
      <c r="H13" s="67">
        <f>SUM(H12:H12)</f>
        <v>50000000</v>
      </c>
      <c r="I13" s="19"/>
      <c r="J13" s="67">
        <f>SUM(J12:J12)</f>
        <v>5000000</v>
      </c>
    </row>
    <row r="14" spans="2:10" x14ac:dyDescent="0.25">
      <c r="B14" s="33" t="s">
        <v>34</v>
      </c>
      <c r="C14" s="22" t="s">
        <v>155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198</v>
      </c>
      <c r="D15" s="24"/>
      <c r="E15" s="10">
        <v>2</v>
      </c>
      <c r="F15" s="9" t="s">
        <v>153</v>
      </c>
      <c r="G15" s="67">
        <v>250000</v>
      </c>
      <c r="H15" s="69">
        <f t="shared" ref="H15:H17" si="0">+E15*G15</f>
        <v>500000</v>
      </c>
      <c r="I15" s="19">
        <v>5</v>
      </c>
      <c r="J15" s="67">
        <f t="shared" ref="J15:J17" si="1">+H15/I15</f>
        <v>100000</v>
      </c>
    </row>
    <row r="16" spans="2:10" x14ac:dyDescent="0.25">
      <c r="B16" s="33"/>
      <c r="C16" s="33" t="s">
        <v>189</v>
      </c>
      <c r="D16" s="24"/>
      <c r="E16" s="10">
        <v>1</v>
      </c>
      <c r="F16" s="9" t="s">
        <v>156</v>
      </c>
      <c r="G16" s="67">
        <v>250000</v>
      </c>
      <c r="H16" s="69">
        <f t="shared" si="0"/>
        <v>250000</v>
      </c>
      <c r="I16" s="19">
        <v>5</v>
      </c>
      <c r="J16" s="67">
        <f t="shared" si="1"/>
        <v>50000</v>
      </c>
    </row>
    <row r="17" spans="2:10" x14ac:dyDescent="0.25">
      <c r="B17" s="33"/>
      <c r="C17" s="33" t="s">
        <v>176</v>
      </c>
      <c r="D17" s="24"/>
      <c r="E17" s="10">
        <v>30</v>
      </c>
      <c r="F17" s="9" t="s">
        <v>156</v>
      </c>
      <c r="G17" s="67">
        <v>5000</v>
      </c>
      <c r="H17" s="69">
        <f t="shared" si="0"/>
        <v>150000</v>
      </c>
      <c r="I17" s="19">
        <v>2</v>
      </c>
      <c r="J17" s="67">
        <f t="shared" si="1"/>
        <v>75000</v>
      </c>
    </row>
    <row r="18" spans="2:10" x14ac:dyDescent="0.25">
      <c r="B18" s="33"/>
      <c r="C18" s="33" t="s">
        <v>154</v>
      </c>
      <c r="D18" s="23"/>
      <c r="E18" s="19"/>
      <c r="F18" s="9"/>
      <c r="G18" s="19"/>
      <c r="H18" s="69">
        <f>SUM(H15:H17)</f>
        <v>900000</v>
      </c>
      <c r="I18" s="19"/>
      <c r="J18" s="69">
        <f>SUM(J15:J17)</f>
        <v>225000</v>
      </c>
    </row>
    <row r="19" spans="2:10" x14ac:dyDescent="0.25">
      <c r="B19" s="22"/>
      <c r="C19" s="22" t="s">
        <v>11</v>
      </c>
      <c r="D19" s="23"/>
      <c r="E19" s="19"/>
      <c r="F19" s="19"/>
      <c r="G19" s="19"/>
      <c r="H19" s="69">
        <f>+H10+H13+H18</f>
        <v>125900000</v>
      </c>
      <c r="I19" s="19"/>
      <c r="J19" s="69">
        <f>+J13+J18</f>
        <v>5225000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abSelected="1"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18.7265625" customWidth="1"/>
    <col min="5" max="5" width="2.26953125" customWidth="1"/>
    <col min="6" max="6" width="10.54296875" customWidth="1"/>
    <col min="7" max="7" width="10.1796875" customWidth="1"/>
    <col min="8" max="8" width="10.54296875" customWidth="1"/>
    <col min="9" max="9" width="13" customWidth="1"/>
    <col min="10" max="10" width="13.179687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191</v>
      </c>
    </row>
    <row r="5" spans="2:13" x14ac:dyDescent="0.25">
      <c r="B5" s="1" t="s">
        <v>2</v>
      </c>
      <c r="C5" s="1"/>
      <c r="D5" s="1"/>
      <c r="E5" s="37" t="s">
        <v>12</v>
      </c>
      <c r="F5" t="s">
        <v>190</v>
      </c>
    </row>
    <row r="6" spans="2:13" x14ac:dyDescent="0.25">
      <c r="B6" s="1" t="s">
        <v>175</v>
      </c>
      <c r="C6" s="1"/>
      <c r="D6" s="1"/>
      <c r="E6" s="37" t="s">
        <v>12</v>
      </c>
      <c r="F6" t="s">
        <v>193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157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146</v>
      </c>
      <c r="D11" s="23" t="s">
        <v>192</v>
      </c>
      <c r="E11" s="24"/>
      <c r="F11" s="67">
        <v>2000</v>
      </c>
      <c r="G11" s="9" t="s">
        <v>150</v>
      </c>
      <c r="H11" s="67">
        <v>57000</v>
      </c>
      <c r="I11" s="69">
        <f>+F11*H11</f>
        <v>114000000</v>
      </c>
      <c r="J11" s="69">
        <f>4*I11</f>
        <v>456000000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114000000</v>
      </c>
      <c r="J12" s="69">
        <f>SUM(J11:J11)</f>
        <v>456000000</v>
      </c>
    </row>
    <row r="13" spans="2:13" x14ac:dyDescent="0.25">
      <c r="B13" s="33" t="s">
        <v>47</v>
      </c>
      <c r="C13" s="22" t="s">
        <v>77</v>
      </c>
      <c r="D13" s="23"/>
      <c r="E13" s="8"/>
      <c r="F13" s="150">
        <f>+'Tabel Lampiran 2 '!G11</f>
        <v>35</v>
      </c>
      <c r="G13" s="9" t="s">
        <v>78</v>
      </c>
      <c r="H13" s="67">
        <v>100000</v>
      </c>
      <c r="I13" s="69">
        <f t="shared" ref="I13:I16" si="0">+F13*H13</f>
        <v>3500000</v>
      </c>
      <c r="J13" s="69">
        <f>4*I13</f>
        <v>14000000</v>
      </c>
      <c r="M13" t="s">
        <v>13</v>
      </c>
    </row>
    <row r="14" spans="2:13" x14ac:dyDescent="0.25">
      <c r="B14" s="33" t="s">
        <v>48</v>
      </c>
      <c r="C14" s="22" t="s">
        <v>179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146</v>
      </c>
      <c r="D15" t="s">
        <v>199</v>
      </c>
      <c r="E15" s="8"/>
      <c r="F15" s="141">
        <v>1</v>
      </c>
      <c r="G15" s="9" t="s">
        <v>200</v>
      </c>
      <c r="H15" s="67">
        <v>3000000</v>
      </c>
      <c r="I15" s="69">
        <f t="shared" si="0"/>
        <v>3000000</v>
      </c>
      <c r="J15" s="69">
        <f t="shared" ref="J15:J17" si="1">4*I15</f>
        <v>12000000</v>
      </c>
    </row>
    <row r="16" spans="2:13" x14ac:dyDescent="0.25">
      <c r="B16" s="19" t="s">
        <v>13</v>
      </c>
      <c r="C16" s="73" t="s">
        <v>146</v>
      </c>
      <c r="D16" s="36" t="s">
        <v>79</v>
      </c>
      <c r="E16" s="24"/>
      <c r="F16" s="12">
        <v>1</v>
      </c>
      <c r="G16" s="9" t="s">
        <v>68</v>
      </c>
      <c r="H16" s="67">
        <v>250000</v>
      </c>
      <c r="I16" s="69">
        <f t="shared" si="0"/>
        <v>250000</v>
      </c>
      <c r="J16" s="69">
        <f t="shared" si="1"/>
        <v>1000000</v>
      </c>
    </row>
    <row r="17" spans="2:13" x14ac:dyDescent="0.25">
      <c r="B17" s="19"/>
      <c r="C17" s="73" t="s">
        <v>146</v>
      </c>
      <c r="D17" s="36" t="s">
        <v>85</v>
      </c>
      <c r="E17" s="24"/>
      <c r="F17" s="12">
        <v>1</v>
      </c>
      <c r="G17" s="9" t="s">
        <v>68</v>
      </c>
      <c r="H17" s="67">
        <v>300000</v>
      </c>
      <c r="I17" s="69">
        <f t="shared" ref="I17" si="2">+F17*H17</f>
        <v>300000</v>
      </c>
      <c r="J17" s="69">
        <f t="shared" si="1"/>
        <v>1200000</v>
      </c>
    </row>
    <row r="18" spans="2:13" x14ac:dyDescent="0.25">
      <c r="B18" s="19"/>
      <c r="C18" s="36" t="s">
        <v>180</v>
      </c>
      <c r="D18" s="23"/>
      <c r="E18" s="18"/>
      <c r="F18" s="12"/>
      <c r="G18" s="9"/>
      <c r="H18" s="19"/>
      <c r="I18" s="69">
        <f>SUM(I15:I17)</f>
        <v>3550000</v>
      </c>
      <c r="J18" s="69">
        <f>SUM(J15:J17)</f>
        <v>14200000</v>
      </c>
      <c r="M18" s="94" t="s">
        <v>13</v>
      </c>
    </row>
    <row r="19" spans="2:13" x14ac:dyDescent="0.25">
      <c r="B19" s="33"/>
      <c r="C19" s="33"/>
      <c r="D19" s="23" t="s">
        <v>181</v>
      </c>
      <c r="E19" s="24"/>
      <c r="F19" s="19"/>
      <c r="G19" s="9"/>
      <c r="H19" s="19"/>
      <c r="I19" s="69">
        <f>+I18+I13+I12</f>
        <v>121050000</v>
      </c>
      <c r="J19" s="69">
        <f>+J18+J13+J12</f>
        <v>484200000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9.81640625" customWidth="1"/>
    <col min="7" max="7" width="10.81640625" customWidth="1"/>
    <col min="8" max="8" width="13.7265625" customWidth="1"/>
    <col min="9" max="9" width="16.5429687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191</v>
      </c>
    </row>
    <row r="5" spans="2:17" x14ac:dyDescent="0.25">
      <c r="B5" s="1" t="s">
        <v>2</v>
      </c>
      <c r="C5" s="1"/>
      <c r="D5" s="1"/>
      <c r="E5" s="31" t="s">
        <v>12</v>
      </c>
      <c r="F5" t="s">
        <v>190</v>
      </c>
    </row>
    <row r="6" spans="2:17" x14ac:dyDescent="0.25">
      <c r="B6" s="1" t="s">
        <v>175</v>
      </c>
      <c r="C6" s="4"/>
      <c r="D6" s="4"/>
      <c r="E6" s="31" t="s">
        <v>12</v>
      </c>
      <c r="F6" t="s">
        <v>193</v>
      </c>
    </row>
    <row r="8" spans="2:17" x14ac:dyDescent="0.25">
      <c r="B8" s="30" t="s">
        <v>92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93</v>
      </c>
      <c r="I8" s="29" t="s">
        <v>203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182</v>
      </c>
      <c r="E10" s="24"/>
      <c r="F10" s="23">
        <v>1</v>
      </c>
      <c r="G10" s="9" t="s">
        <v>29</v>
      </c>
      <c r="H10" s="93">
        <f>+'Tabel Lampiran 5'!I12</f>
        <v>114000000</v>
      </c>
      <c r="I10" s="69">
        <f>+H10</f>
        <v>114000000</v>
      </c>
    </row>
    <row r="11" spans="2:17" x14ac:dyDescent="0.25">
      <c r="B11" s="19"/>
      <c r="C11" s="22" t="s">
        <v>47</v>
      </c>
      <c r="D11" s="23" t="s">
        <v>183</v>
      </c>
      <c r="E11" s="24"/>
      <c r="F11" s="23">
        <v>1</v>
      </c>
      <c r="G11" s="9" t="s">
        <v>29</v>
      </c>
      <c r="H11" s="93">
        <f>+'Tabel Lampiran 5'!I13</f>
        <v>3500000</v>
      </c>
      <c r="I11" s="69">
        <f>+H11</f>
        <v>3500000</v>
      </c>
    </row>
    <row r="12" spans="2:17" x14ac:dyDescent="0.25">
      <c r="B12" s="19"/>
      <c r="C12" s="22" t="s">
        <v>48</v>
      </c>
      <c r="D12" s="23" t="s">
        <v>184</v>
      </c>
      <c r="E12" s="24"/>
      <c r="F12" s="23">
        <v>1</v>
      </c>
      <c r="G12" s="9" t="s">
        <v>29</v>
      </c>
      <c r="H12" s="93">
        <f>+'Tabel Lampiran 5'!I18</f>
        <v>3550000</v>
      </c>
      <c r="I12" s="69">
        <f>+H12</f>
        <v>3550000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121050000</v>
      </c>
      <c r="I13" s="69">
        <f>SUM(I10:I12)</f>
        <v>121050000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4'!H19</f>
        <v>125900000</v>
      </c>
      <c r="I15" s="95">
        <f>+H15</f>
        <v>125900000</v>
      </c>
    </row>
    <row r="16" spans="2:17" x14ac:dyDescent="0.25">
      <c r="B16" s="19"/>
      <c r="C16" s="22" t="s">
        <v>158</v>
      </c>
      <c r="D16" s="23"/>
      <c r="E16" s="24"/>
      <c r="F16" s="23"/>
      <c r="G16" s="19"/>
      <c r="H16" s="93" t="s">
        <v>13</v>
      </c>
      <c r="I16" s="69">
        <f>+I15</f>
        <v>125900000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246950000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159</v>
      </c>
      <c r="H20" s="94">
        <f>+I13</f>
        <v>121050000</v>
      </c>
      <c r="I20" s="69">
        <f>+F20/100*H20</f>
        <v>84735000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159</v>
      </c>
      <c r="H21" s="93">
        <f>+I13</f>
        <v>121050000</v>
      </c>
      <c r="I21" s="69">
        <f>+F21/100*H21</f>
        <v>36315000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121050000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159</v>
      </c>
      <c r="H24" s="94">
        <f>+H15</f>
        <v>125900000</v>
      </c>
      <c r="I24" s="69">
        <f t="shared" ref="I24:I25" si="0">+F24/100*H24</f>
        <v>88130000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159</v>
      </c>
      <c r="H25" s="93">
        <f>+H15</f>
        <v>125900000</v>
      </c>
      <c r="I25" s="69">
        <f t="shared" si="0"/>
        <v>37770000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125900000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16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191</v>
      </c>
    </row>
    <row r="5" spans="2:16" x14ac:dyDescent="0.25">
      <c r="B5" s="1" t="s">
        <v>2</v>
      </c>
      <c r="C5" s="1"/>
      <c r="D5" s="1"/>
      <c r="E5" s="31" t="s">
        <v>12</v>
      </c>
      <c r="F5" t="s">
        <v>190</v>
      </c>
    </row>
    <row r="6" spans="2:16" x14ac:dyDescent="0.25">
      <c r="B6" s="1" t="s">
        <v>175</v>
      </c>
      <c r="C6" s="1"/>
      <c r="D6" s="1"/>
      <c r="E6" s="31" t="s">
        <v>12</v>
      </c>
      <c r="F6" t="s">
        <v>193</v>
      </c>
    </row>
    <row r="8" spans="2:16" x14ac:dyDescent="0.25">
      <c r="B8" s="44" t="s">
        <v>168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2" t="s">
        <v>22</v>
      </c>
      <c r="D9" s="163"/>
      <c r="E9" s="166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166</v>
      </c>
      <c r="D10" s="23"/>
      <c r="E10" s="24"/>
      <c r="F10" s="69">
        <f>+'Tabel Lampiran 6'!I20</f>
        <v>84735000</v>
      </c>
      <c r="G10" s="69">
        <f>+F10-G11</f>
        <v>67788000</v>
      </c>
      <c r="H10" s="69">
        <f>+G10-H11</f>
        <v>50841000</v>
      </c>
      <c r="I10" s="69">
        <f>+H10-I11</f>
        <v>33894000</v>
      </c>
      <c r="J10" s="69">
        <f>+I10-J11</f>
        <v>16947000</v>
      </c>
      <c r="P10" t="s">
        <v>13</v>
      </c>
    </row>
    <row r="11" spans="2:16" x14ac:dyDescent="0.25">
      <c r="B11" s="19"/>
      <c r="C11" s="23" t="s">
        <v>43</v>
      </c>
      <c r="D11" s="23" t="s">
        <v>161</v>
      </c>
      <c r="E11" s="24"/>
      <c r="F11" s="67">
        <f>+F10/'Tabel Lampiran 3'!F33</f>
        <v>16947000</v>
      </c>
      <c r="G11" s="67">
        <f>+F11</f>
        <v>16947000</v>
      </c>
      <c r="H11" s="67">
        <f>+G11</f>
        <v>16947000</v>
      </c>
      <c r="I11" s="67">
        <f>+H11</f>
        <v>16947000</v>
      </c>
      <c r="J11" s="67">
        <f>+I11</f>
        <v>16947000</v>
      </c>
    </row>
    <row r="12" spans="2:16" x14ac:dyDescent="0.25">
      <c r="B12" s="19"/>
      <c r="C12" s="23" t="s">
        <v>47</v>
      </c>
      <c r="D12" s="23" t="s">
        <v>162</v>
      </c>
      <c r="E12" s="24"/>
      <c r="F12" s="67">
        <f>+'Tabel Lampiran 3'!F25/100*'Tabel Lampiran 7'!F10</f>
        <v>8473500</v>
      </c>
      <c r="G12" s="67">
        <f>+'Tabel Lampiran 3'!F25/100*'Tabel Lampiran 7'!G10</f>
        <v>6778800</v>
      </c>
      <c r="H12" s="67">
        <f>+'Tabel Lampiran 3'!F25/100*'Tabel Lampiran 7'!H10</f>
        <v>5084100</v>
      </c>
      <c r="I12" s="67">
        <f>+'Tabel Lampiran 3'!F26/100*'Tabel Lampiran 7'!I10</f>
        <v>3389400</v>
      </c>
      <c r="J12" s="67">
        <f>+'Tabel Lampiran 3'!F25/100*'Tabel Lampiran 7'!J10</f>
        <v>1694700</v>
      </c>
      <c r="L12">
        <v>10</v>
      </c>
    </row>
    <row r="13" spans="2:16" x14ac:dyDescent="0.25">
      <c r="B13" s="9" t="s">
        <v>28</v>
      </c>
      <c r="C13" s="23" t="s">
        <v>167</v>
      </c>
      <c r="D13" s="23"/>
      <c r="E13" s="24"/>
      <c r="F13" s="67">
        <f>+'Tabel Lampiran 6'!I24</f>
        <v>88130000</v>
      </c>
      <c r="G13" s="67">
        <f>+F13-F14</f>
        <v>70504000</v>
      </c>
      <c r="H13" s="67">
        <f>+G13-G14</f>
        <v>52878000</v>
      </c>
      <c r="I13" s="67">
        <f>+H13-H14</f>
        <v>35252000</v>
      </c>
      <c r="J13" s="67">
        <f>+I13-I14</f>
        <v>17626000</v>
      </c>
    </row>
    <row r="14" spans="2:16" x14ac:dyDescent="0.25">
      <c r="B14" s="19"/>
      <c r="C14" s="63" t="s">
        <v>43</v>
      </c>
      <c r="D14" s="23" t="s">
        <v>161</v>
      </c>
      <c r="E14" s="24"/>
      <c r="F14" s="67">
        <f>+F13/'Tabel Lampiran 3'!F34</f>
        <v>17626000</v>
      </c>
      <c r="G14" s="67">
        <f>+F14</f>
        <v>17626000</v>
      </c>
      <c r="H14" s="67">
        <f>+G14</f>
        <v>17626000</v>
      </c>
      <c r="I14" s="67">
        <f>+H14</f>
        <v>17626000</v>
      </c>
      <c r="J14" s="67">
        <f>+I14</f>
        <v>17626000</v>
      </c>
    </row>
    <row r="15" spans="2:16" x14ac:dyDescent="0.25">
      <c r="B15" s="12"/>
      <c r="C15" s="101" t="s">
        <v>47</v>
      </c>
      <c r="D15" s="101" t="s">
        <v>162</v>
      </c>
      <c r="E15" s="32"/>
      <c r="F15" s="67">
        <f>+'Tabel Lampiran 3'!F25/100*'Tabel Lampiran 7'!F13</f>
        <v>8813000</v>
      </c>
      <c r="G15" s="67">
        <f>+'Tabel Lampiran 3'!F25/100*'Tabel Lampiran 7'!G13</f>
        <v>7050400</v>
      </c>
      <c r="H15" s="67">
        <f>+'Tabel Lampiran 3'!F25/100*'Tabel Lampiran 7'!H13</f>
        <v>5287800</v>
      </c>
      <c r="I15" s="67">
        <f>+'Tabel Lampiran 3'!F25/100*'Tabel Lampiran 7'!I13</f>
        <v>3525200</v>
      </c>
      <c r="J15" s="67">
        <f>+'Tabel Lampiran 3'!F25/100*'Tabel Lampiran 7'!J13</f>
        <v>1762600</v>
      </c>
    </row>
    <row r="16" spans="2:16" x14ac:dyDescent="0.25">
      <c r="B16" s="9">
        <v>3</v>
      </c>
      <c r="C16" s="23" t="s">
        <v>163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164</v>
      </c>
      <c r="E17" s="23"/>
      <c r="F17" s="67">
        <f t="shared" ref="F17:J18" si="0">+F11+F14</f>
        <v>34573000</v>
      </c>
      <c r="G17" s="67">
        <f t="shared" si="0"/>
        <v>34573000</v>
      </c>
      <c r="H17" s="67">
        <f t="shared" si="0"/>
        <v>34573000</v>
      </c>
      <c r="I17" s="67">
        <f t="shared" si="0"/>
        <v>34573000</v>
      </c>
      <c r="J17" s="67">
        <f t="shared" si="0"/>
        <v>34573000</v>
      </c>
    </row>
    <row r="18" spans="2:10" x14ac:dyDescent="0.25">
      <c r="B18" s="19"/>
      <c r="C18" s="101" t="s">
        <v>47</v>
      </c>
      <c r="D18" s="23" t="s">
        <v>165</v>
      </c>
      <c r="E18" s="23"/>
      <c r="F18" s="67">
        <f t="shared" si="0"/>
        <v>17286500</v>
      </c>
      <c r="G18" s="67">
        <f t="shared" si="0"/>
        <v>13829200</v>
      </c>
      <c r="H18" s="67">
        <f t="shared" si="0"/>
        <v>10371900</v>
      </c>
      <c r="I18" s="67">
        <f t="shared" si="0"/>
        <v>6914600</v>
      </c>
      <c r="J18" s="67">
        <f t="shared" si="0"/>
        <v>3457300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2" t="s">
        <v>22</v>
      </c>
      <c r="D21" s="163"/>
      <c r="E21" s="166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160</v>
      </c>
      <c r="D23" s="23"/>
      <c r="E23" s="24"/>
      <c r="F23" s="93">
        <f>+'Tabel Lampiran 1'!R12</f>
        <v>560000000</v>
      </c>
      <c r="G23" s="69">
        <f>+F23</f>
        <v>560000000</v>
      </c>
      <c r="H23" s="93">
        <f>+G23</f>
        <v>560000000</v>
      </c>
      <c r="I23" s="69">
        <f>+H23</f>
        <v>560000000</v>
      </c>
      <c r="J23" s="69">
        <f>+I23</f>
        <v>560000000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185</v>
      </c>
      <c r="E25" s="24"/>
      <c r="F25" s="93">
        <f>+'Tabel Lampiran 5'!J12</f>
        <v>456000000</v>
      </c>
      <c r="G25" s="69">
        <f t="shared" ref="G25:J28" si="1">+F25</f>
        <v>456000000</v>
      </c>
      <c r="H25" s="93">
        <f t="shared" si="1"/>
        <v>456000000</v>
      </c>
      <c r="I25" s="69">
        <f t="shared" si="1"/>
        <v>456000000</v>
      </c>
      <c r="J25" s="69">
        <f t="shared" si="1"/>
        <v>456000000</v>
      </c>
    </row>
    <row r="26" spans="2:10" x14ac:dyDescent="0.25">
      <c r="B26" s="9"/>
      <c r="C26" s="22" t="s">
        <v>47</v>
      </c>
      <c r="D26" s="23" t="s">
        <v>186</v>
      </c>
      <c r="E26" s="24"/>
      <c r="F26" s="93">
        <f>+'Tabel Lampiran 5'!J13</f>
        <v>14000000</v>
      </c>
      <c r="G26" s="69">
        <f t="shared" si="1"/>
        <v>14000000</v>
      </c>
      <c r="H26" s="93">
        <f t="shared" si="1"/>
        <v>14000000</v>
      </c>
      <c r="I26" s="69">
        <f t="shared" si="1"/>
        <v>14000000</v>
      </c>
      <c r="J26" s="69">
        <f t="shared" si="1"/>
        <v>14000000</v>
      </c>
    </row>
    <row r="27" spans="2:10" x14ac:dyDescent="0.25">
      <c r="B27" s="21"/>
      <c r="C27" s="16" t="s">
        <v>48</v>
      </c>
      <c r="D27" s="17" t="s">
        <v>179</v>
      </c>
      <c r="E27" s="18"/>
      <c r="F27" s="96">
        <f>+'Tabel Lampiran 5'!J18</f>
        <v>14200000</v>
      </c>
      <c r="G27" s="95">
        <f>+F27</f>
        <v>14200000</v>
      </c>
      <c r="H27" s="96">
        <f>+G27</f>
        <v>14200000</v>
      </c>
      <c r="I27" s="95">
        <f>+H27</f>
        <v>14200000</v>
      </c>
      <c r="J27" s="95">
        <f>+I27</f>
        <v>14200000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4'!J19</f>
        <v>5225000</v>
      </c>
      <c r="G28" s="69">
        <f t="shared" si="1"/>
        <v>5225000</v>
      </c>
      <c r="H28" s="93">
        <f t="shared" si="1"/>
        <v>5225000</v>
      </c>
      <c r="I28" s="69">
        <f t="shared" si="1"/>
        <v>5225000</v>
      </c>
      <c r="J28" s="69">
        <f t="shared" si="1"/>
        <v>5225000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17286500</v>
      </c>
      <c r="G29" s="69">
        <f>+G18</f>
        <v>13829200</v>
      </c>
      <c r="H29" s="69">
        <f>+H18</f>
        <v>10371900</v>
      </c>
      <c r="I29" s="69">
        <f>+I18</f>
        <v>6914600</v>
      </c>
      <c r="J29" s="69">
        <f>+J18</f>
        <v>3457300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506711500</v>
      </c>
      <c r="G30" s="69">
        <f t="shared" ref="G30:J30" si="2">SUM(G25:G29)</f>
        <v>503254200</v>
      </c>
      <c r="H30" s="69">
        <f t="shared" si="2"/>
        <v>499796900</v>
      </c>
      <c r="I30" s="69">
        <f t="shared" si="2"/>
        <v>496339600</v>
      </c>
      <c r="J30" s="69">
        <f t="shared" si="2"/>
        <v>492882300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53288500</v>
      </c>
      <c r="G31" s="69">
        <f t="shared" ref="G31:J31" si="3">+G23-G30</f>
        <v>56745800</v>
      </c>
      <c r="H31" s="69">
        <f t="shared" si="3"/>
        <v>60203100</v>
      </c>
      <c r="I31" s="69">
        <f t="shared" si="3"/>
        <v>63660400</v>
      </c>
      <c r="J31" s="69">
        <f t="shared" si="3"/>
        <v>67117700</v>
      </c>
    </row>
    <row r="32" spans="2:10" x14ac:dyDescent="0.25">
      <c r="B32" s="55" t="s">
        <v>34</v>
      </c>
      <c r="C32" s="22" t="s">
        <v>172</v>
      </c>
      <c r="D32" s="23"/>
      <c r="E32" s="24"/>
      <c r="F32" s="102">
        <f>0.5/100*F23</f>
        <v>2800000</v>
      </c>
      <c r="G32" s="102">
        <f t="shared" ref="G32:J32" si="4">0.5/100*G23</f>
        <v>2800000</v>
      </c>
      <c r="H32" s="102">
        <f t="shared" si="4"/>
        <v>2800000</v>
      </c>
      <c r="I32" s="102">
        <f t="shared" si="4"/>
        <v>2800000</v>
      </c>
      <c r="J32" s="102">
        <f t="shared" si="4"/>
        <v>2800000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50488500</v>
      </c>
      <c r="G33" s="69">
        <f t="shared" ref="G33:J33" si="5">+G31-G32</f>
        <v>53945800</v>
      </c>
      <c r="H33" s="69">
        <f t="shared" si="5"/>
        <v>57403100</v>
      </c>
      <c r="I33" s="69">
        <f t="shared" si="5"/>
        <v>60860400</v>
      </c>
      <c r="J33" s="69">
        <f t="shared" si="5"/>
        <v>64317700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9.0158035714285703</v>
      </c>
      <c r="G34" s="103">
        <f t="shared" ref="G34:J34" si="6">+G33/G23*100</f>
        <v>9.6331785714285711</v>
      </c>
      <c r="H34" s="103">
        <f t="shared" si="6"/>
        <v>10.25055357142857</v>
      </c>
      <c r="I34" s="103">
        <f t="shared" si="6"/>
        <v>10.867928571428571</v>
      </c>
      <c r="J34" s="103">
        <f t="shared" si="6"/>
        <v>11.485303571428572</v>
      </c>
    </row>
    <row r="35" spans="2:11" x14ac:dyDescent="0.25">
      <c r="B35" s="22" t="s">
        <v>13</v>
      </c>
      <c r="C35" s="142" t="s">
        <v>187</v>
      </c>
      <c r="D35" s="23"/>
      <c r="E35" s="24"/>
      <c r="F35" s="69">
        <f>SUM(F33:J33)/5</f>
        <v>57403100</v>
      </c>
    </row>
    <row r="36" spans="2:11" x14ac:dyDescent="0.25">
      <c r="B36" s="22"/>
      <c r="C36" s="142" t="s">
        <v>188</v>
      </c>
      <c r="D36" s="23"/>
      <c r="E36" s="24"/>
      <c r="F36" s="143">
        <f>SUM(F34:J34)/5</f>
        <v>10.250553571428572</v>
      </c>
      <c r="K36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191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190</v>
      </c>
    </row>
    <row r="6" spans="2:12" ht="15" x14ac:dyDescent="0.25">
      <c r="B6" s="1" t="s">
        <v>175</v>
      </c>
      <c r="C6" s="1"/>
      <c r="D6" s="1"/>
      <c r="E6" s="4"/>
      <c r="F6" s="31" t="s">
        <v>12</v>
      </c>
      <c r="G6" t="s">
        <v>193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2" t="s">
        <v>22</v>
      </c>
      <c r="D9" s="163"/>
      <c r="E9" s="163"/>
      <c r="F9" s="166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560000000</v>
      </c>
      <c r="I11" s="104">
        <f>+'Tabel Lampiran 7'!G23</f>
        <v>560000000</v>
      </c>
      <c r="J11" s="104">
        <f>+'Tabel Lampiran 7'!H23</f>
        <v>560000000</v>
      </c>
      <c r="K11" s="104">
        <f>+'Tabel Lampiran 7'!I23</f>
        <v>560000000</v>
      </c>
      <c r="L11" s="104">
        <f>+'Tabel Lampiran 7'!J23</f>
        <v>560000000</v>
      </c>
    </row>
    <row r="12" spans="2:12" ht="15" x14ac:dyDescent="0.25">
      <c r="B12" s="9"/>
      <c r="C12" s="22" t="s">
        <v>47</v>
      </c>
      <c r="D12" s="23" t="s">
        <v>169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88130000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84735000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170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36315000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36315000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245495000</v>
      </c>
      <c r="H19" s="67">
        <f t="shared" ref="H19:L19" si="0">SUM(H11:H18)</f>
        <v>560000000</v>
      </c>
      <c r="I19" s="67">
        <f t="shared" si="0"/>
        <v>560000000</v>
      </c>
      <c r="J19" s="67">
        <f t="shared" si="0"/>
        <v>560000000</v>
      </c>
      <c r="K19" s="67">
        <f t="shared" si="0"/>
        <v>560000000</v>
      </c>
      <c r="L19" s="67">
        <f t="shared" si="0"/>
        <v>560000000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560000000</v>
      </c>
      <c r="I20" s="69">
        <f t="shared" ref="I20:L20" si="1">+I19</f>
        <v>560000000</v>
      </c>
      <c r="J20" s="69">
        <f t="shared" si="1"/>
        <v>560000000</v>
      </c>
      <c r="K20" s="69">
        <f t="shared" si="1"/>
        <v>560000000</v>
      </c>
      <c r="L20" s="69">
        <f t="shared" si="1"/>
        <v>560000000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4'!H19</f>
        <v>125900000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456000000</v>
      </c>
      <c r="I23" s="95">
        <f>+'Tabel Lampiran 7'!G25</f>
        <v>456000000</v>
      </c>
      <c r="J23" s="95">
        <f>+'Tabel Lampiran 7'!H25</f>
        <v>456000000</v>
      </c>
      <c r="K23" s="95">
        <f>+'Tabel Lampiran 7'!I25</f>
        <v>456000000</v>
      </c>
      <c r="L23" s="95">
        <f>+'Tabel Lampiran 7'!J25</f>
        <v>456000000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14000000</v>
      </c>
      <c r="I24" s="69">
        <f>+'Tabel Lampiran 7'!G26</f>
        <v>14000000</v>
      </c>
      <c r="J24" s="69">
        <f>+'Tabel Lampiran 7'!H26</f>
        <v>14000000</v>
      </c>
      <c r="K24" s="69">
        <f>+'Tabel Lampiran 7'!I26</f>
        <v>14000000</v>
      </c>
      <c r="L24" s="69">
        <f>+'Tabel Lampiran 7'!J26</f>
        <v>14000000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34573000</v>
      </c>
      <c r="I25" s="95">
        <f>+'Tabel Lampiran 7'!G17</f>
        <v>34573000</v>
      </c>
      <c r="J25" s="95">
        <f>+'Tabel Lampiran 7'!H17</f>
        <v>34573000</v>
      </c>
      <c r="K25" s="95">
        <f>+'Tabel Lampiran 7'!I17</f>
        <v>34573000</v>
      </c>
      <c r="L25" s="95">
        <f>+'Tabel Lampiran 7'!J17</f>
        <v>34573000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17286500</v>
      </c>
      <c r="I26" s="69">
        <f>+'Tabel Lampiran 7'!G18</f>
        <v>13829200</v>
      </c>
      <c r="J26" s="69">
        <f>+'Tabel Lampiran 7'!H18</f>
        <v>10371900</v>
      </c>
      <c r="K26" s="69">
        <f>+'Tabel Lampiran 7'!I18</f>
        <v>6914600</v>
      </c>
      <c r="L26" s="69">
        <f>+'Tabel Lampiran 7'!J18</f>
        <v>3457300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125900000</v>
      </c>
      <c r="H29" s="69">
        <f t="shared" ref="H29:L29" si="2">SUM(H22:H28)</f>
        <v>521859500</v>
      </c>
      <c r="I29" s="69">
        <f t="shared" si="2"/>
        <v>518402200</v>
      </c>
      <c r="J29" s="69">
        <f t="shared" si="2"/>
        <v>514944900</v>
      </c>
      <c r="K29" s="69">
        <f t="shared" si="2"/>
        <v>511487600</v>
      </c>
      <c r="L29" s="69">
        <f t="shared" si="2"/>
        <v>508030300</v>
      </c>
    </row>
    <row r="30" spans="2:12" ht="15" x14ac:dyDescent="0.25">
      <c r="B30" s="9"/>
      <c r="C30" s="22" t="s">
        <v>171</v>
      </c>
      <c r="D30" s="36"/>
      <c r="E30" s="23"/>
      <c r="F30" s="24"/>
      <c r="G30" s="93">
        <f>+G29</f>
        <v>125900000</v>
      </c>
      <c r="H30" s="69">
        <f>+H23+H24</f>
        <v>470000000</v>
      </c>
      <c r="I30" s="69">
        <f t="shared" ref="I30:L30" si="3">+I23+I24</f>
        <v>470000000</v>
      </c>
      <c r="J30" s="69">
        <f t="shared" si="3"/>
        <v>470000000</v>
      </c>
      <c r="K30" s="69">
        <f t="shared" si="3"/>
        <v>470000000</v>
      </c>
      <c r="L30" s="69">
        <f t="shared" si="3"/>
        <v>470000000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119595000</v>
      </c>
      <c r="H32" s="69">
        <f t="shared" ref="H32:L32" si="4">+H19-H29</f>
        <v>38140500</v>
      </c>
      <c r="I32" s="69">
        <f t="shared" si="4"/>
        <v>41597800</v>
      </c>
      <c r="J32" s="69">
        <f t="shared" si="4"/>
        <v>45055100</v>
      </c>
      <c r="K32" s="69">
        <f t="shared" si="4"/>
        <v>48512400</v>
      </c>
      <c r="L32" s="69">
        <f t="shared" si="4"/>
        <v>51969700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-125900000</v>
      </c>
      <c r="H33" s="69">
        <f>+H20-H30</f>
        <v>90000000</v>
      </c>
      <c r="I33" s="69">
        <f t="shared" ref="I33:L33" si="5">+I20-I30</f>
        <v>90000000</v>
      </c>
      <c r="J33" s="69">
        <f t="shared" si="5"/>
        <v>90000000</v>
      </c>
      <c r="K33" s="69">
        <f t="shared" si="5"/>
        <v>90000000</v>
      </c>
      <c r="L33" s="69">
        <f t="shared" si="5"/>
        <v>90000000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-125900000</v>
      </c>
      <c r="H35" s="69">
        <f t="shared" ref="H35:L35" si="6">+H34*H33</f>
        <v>81818181.818181813</v>
      </c>
      <c r="I35" s="69">
        <f t="shared" si="6"/>
        <v>74380165.289256185</v>
      </c>
      <c r="J35" s="69">
        <f t="shared" si="6"/>
        <v>67618332.081141979</v>
      </c>
      <c r="K35" s="69">
        <f t="shared" si="6"/>
        <v>61471210.982856348</v>
      </c>
      <c r="L35" s="69">
        <f t="shared" si="6"/>
        <v>55882919.075323947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-125900000</v>
      </c>
      <c r="H36" s="69">
        <f>+G36+H35</f>
        <v>-44081818.181818187</v>
      </c>
      <c r="I36" s="69">
        <f>+H36+I35</f>
        <v>30298347.107437998</v>
      </c>
      <c r="J36" s="69">
        <f t="shared" ref="J36:L36" si="7">+I36+J35</f>
        <v>97916679.188579977</v>
      </c>
      <c r="K36" s="69">
        <f t="shared" si="7"/>
        <v>159387890.17143631</v>
      </c>
      <c r="L36" s="69">
        <f t="shared" si="7"/>
        <v>215270809.24676025</v>
      </c>
    </row>
    <row r="37" spans="2:12" ht="15" x14ac:dyDescent="0.25">
      <c r="B37" s="113" t="s">
        <v>173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215270809.24676025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0.65775599905111348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1.127700278213428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5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2025-10-30T08:09:06Z</dcterms:modified>
</cp:coreProperties>
</file>