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ternak kambing tj sakti\"/>
    </mc:Choice>
  </mc:AlternateContent>
  <xr:revisionPtr revIDLastSave="0" documentId="8_{069F063A-925D-4581-A1F0-68343D4626FE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F19" i="5" l="1"/>
  <c r="F18" i="5"/>
  <c r="F16" i="5"/>
  <c r="F13" i="5"/>
  <c r="I13" i="5" s="1"/>
  <c r="J13" i="5" s="1"/>
  <c r="F12" i="5"/>
  <c r="I12" i="5" s="1"/>
  <c r="J12" i="5" s="1"/>
  <c r="F19" i="3"/>
  <c r="F18" i="3"/>
  <c r="F15" i="3"/>
  <c r="F14" i="3"/>
  <c r="I9" i="1"/>
  <c r="J9" i="1" s="1"/>
  <c r="I8" i="1"/>
  <c r="J8" i="1" s="1"/>
  <c r="H17" i="4"/>
  <c r="J17" i="4" s="1"/>
  <c r="H12" i="4"/>
  <c r="J12" i="4" s="1"/>
  <c r="J10" i="1" l="1"/>
  <c r="J11" i="1" s="1"/>
  <c r="J12" i="2"/>
  <c r="I10" i="1"/>
  <c r="F24" i="7" s="1"/>
  <c r="H17" i="5"/>
  <c r="H18" i="5" s="1"/>
  <c r="L34" i="8"/>
  <c r="K34" i="8"/>
  <c r="J34" i="8"/>
  <c r="I34" i="8"/>
  <c r="H34" i="8"/>
  <c r="G34" i="8"/>
  <c r="F23" i="6"/>
  <c r="F22" i="6"/>
  <c r="F19" i="6"/>
  <c r="F18" i="6"/>
  <c r="I24" i="5"/>
  <c r="J24" i="5" s="1"/>
  <c r="I23" i="5"/>
  <c r="J23" i="5" s="1"/>
  <c r="I22" i="5"/>
  <c r="I16" i="5"/>
  <c r="J16" i="5" s="1"/>
  <c r="J22" i="5" l="1"/>
  <c r="J25" i="5" s="1"/>
  <c r="F28" i="7" s="1"/>
  <c r="G28" i="7" s="1"/>
  <c r="H28" i="7" s="1"/>
  <c r="I28" i="7" s="1"/>
  <c r="J28" i="7" s="1"/>
  <c r="I25" i="5"/>
  <c r="H10" i="6" s="1"/>
  <c r="I17" i="5"/>
  <c r="J17" i="5" s="1"/>
  <c r="H19" i="5"/>
  <c r="I18" i="5"/>
  <c r="J18" i="5" s="1"/>
  <c r="I10" i="6" l="1"/>
  <c r="I19" i="5"/>
  <c r="J19" i="5" s="1"/>
  <c r="J20" i="5" l="1"/>
  <c r="F27" i="7" s="1"/>
  <c r="I20" i="5"/>
  <c r="H9" i="6" s="1"/>
  <c r="I9" i="6" s="1"/>
  <c r="I11" i="5"/>
  <c r="J11" i="5" s="1"/>
  <c r="G27" i="7" l="1"/>
  <c r="H24" i="8"/>
  <c r="I14" i="5"/>
  <c r="I26" i="5" s="1"/>
  <c r="J14" i="5"/>
  <c r="H8" i="6"/>
  <c r="I8" i="6" s="1"/>
  <c r="I11" i="6" s="1"/>
  <c r="H19" i="4"/>
  <c r="H16" i="4"/>
  <c r="J16" i="4" s="1"/>
  <c r="H15" i="4"/>
  <c r="H11" i="4"/>
  <c r="J11" i="4" s="1"/>
  <c r="J13" i="4" s="1"/>
  <c r="F33" i="7"/>
  <c r="H27" i="7" l="1"/>
  <c r="I24" i="8"/>
  <c r="J26" i="5"/>
  <c r="F26" i="7"/>
  <c r="G26" i="7" s="1"/>
  <c r="J19" i="4"/>
  <c r="J20" i="4" s="1"/>
  <c r="J15" i="4"/>
  <c r="J18" i="4" s="1"/>
  <c r="H18" i="4"/>
  <c r="H13" i="4"/>
  <c r="H20" i="4" s="1"/>
  <c r="H19" i="6"/>
  <c r="I19" i="6" s="1"/>
  <c r="H18" i="6"/>
  <c r="I18" i="6" s="1"/>
  <c r="G24" i="7"/>
  <c r="G33" i="7" s="1"/>
  <c r="H11" i="8"/>
  <c r="H19" i="8" s="1"/>
  <c r="H23" i="8" l="1"/>
  <c r="H30" i="8" s="1"/>
  <c r="I27" i="7"/>
  <c r="J24" i="8"/>
  <c r="H13" i="6"/>
  <c r="H22" i="6" s="1"/>
  <c r="I22" i="6" s="1"/>
  <c r="F29" i="7"/>
  <c r="G17" i="8"/>
  <c r="G16" i="8"/>
  <c r="H26" i="7"/>
  <c r="I23" i="8"/>
  <c r="I30" i="8" s="1"/>
  <c r="F10" i="7"/>
  <c r="I20" i="6"/>
  <c r="H20" i="8"/>
  <c r="H24" i="7"/>
  <c r="H33" i="7" s="1"/>
  <c r="I11" i="8"/>
  <c r="I19" i="8" s="1"/>
  <c r="H33" i="8" l="1"/>
  <c r="H35" i="8" s="1"/>
  <c r="J27" i="7"/>
  <c r="L24" i="8" s="1"/>
  <c r="K24" i="8"/>
  <c r="G29" i="7"/>
  <c r="H29" i="7" s="1"/>
  <c r="I29" i="7" s="1"/>
  <c r="J29" i="7" s="1"/>
  <c r="I13" i="6"/>
  <c r="I14" i="6" s="1"/>
  <c r="I15" i="6" s="1"/>
  <c r="H23" i="6"/>
  <c r="I23" i="6" s="1"/>
  <c r="G22" i="8"/>
  <c r="G29" i="8" s="1"/>
  <c r="G30" i="8" s="1"/>
  <c r="G33" i="8" s="1"/>
  <c r="G35" i="8" s="1"/>
  <c r="G36" i="8" s="1"/>
  <c r="F12" i="7"/>
  <c r="G14" i="8"/>
  <c r="F11" i="7"/>
  <c r="G11" i="7" s="1"/>
  <c r="H11" i="7" s="1"/>
  <c r="I11" i="7" s="1"/>
  <c r="J11" i="7" s="1"/>
  <c r="I26" i="7"/>
  <c r="J23" i="8"/>
  <c r="J30" i="8" s="1"/>
  <c r="F13" i="7"/>
  <c r="I24" i="6"/>
  <c r="I20" i="8"/>
  <c r="I33" i="8" s="1"/>
  <c r="I35" i="8" s="1"/>
  <c r="I24" i="7"/>
  <c r="I33" i="7" s="1"/>
  <c r="J11" i="8"/>
  <c r="J19" i="8" s="1"/>
  <c r="H36" i="8" l="1"/>
  <c r="I36" i="8" s="1"/>
  <c r="J26" i="7"/>
  <c r="L23" i="8" s="1"/>
  <c r="L30" i="8" s="1"/>
  <c r="K23" i="8"/>
  <c r="K30" i="8" s="1"/>
  <c r="G10" i="7"/>
  <c r="G13" i="8"/>
  <c r="G19" i="8" s="1"/>
  <c r="G32" i="8" s="1"/>
  <c r="F14" i="7"/>
  <c r="F15" i="7"/>
  <c r="F18" i="7" s="1"/>
  <c r="J20" i="8"/>
  <c r="J33" i="8" s="1"/>
  <c r="J35" i="8" s="1"/>
  <c r="J24" i="7"/>
  <c r="J33" i="7" s="1"/>
  <c r="K11" i="8"/>
  <c r="K19" i="8" s="1"/>
  <c r="J36" i="8" l="1"/>
  <c r="G12" i="7"/>
  <c r="H10" i="7"/>
  <c r="F30" i="7"/>
  <c r="H26" i="8"/>
  <c r="G14" i="7"/>
  <c r="F17" i="7"/>
  <c r="H25" i="8" s="1"/>
  <c r="H29" i="8" s="1"/>
  <c r="H32" i="8" s="1"/>
  <c r="G13" i="7"/>
  <c r="L11" i="8"/>
  <c r="L19" i="8" s="1"/>
  <c r="K20" i="8"/>
  <c r="K33" i="8" s="1"/>
  <c r="F31" i="7" l="1"/>
  <c r="F32" i="7" s="1"/>
  <c r="F34" i="7" s="1"/>
  <c r="H12" i="7"/>
  <c r="I10" i="7"/>
  <c r="H13" i="7"/>
  <c r="G15" i="7"/>
  <c r="G18" i="7" s="1"/>
  <c r="H14" i="7"/>
  <c r="G17" i="7"/>
  <c r="I25" i="8" s="1"/>
  <c r="K35" i="8"/>
  <c r="K36" i="8" s="1"/>
  <c r="L20" i="8"/>
  <c r="L33" i="8" s="1"/>
  <c r="L35" i="8" s="1"/>
  <c r="F35" i="7" l="1"/>
  <c r="L36" i="8"/>
  <c r="G38" i="8" s="1"/>
  <c r="J10" i="7"/>
  <c r="J12" i="7" s="1"/>
  <c r="I12" i="7"/>
  <c r="I26" i="8"/>
  <c r="I29" i="8" s="1"/>
  <c r="G30" i="7"/>
  <c r="G31" i="7" s="1"/>
  <c r="G32" i="7" s="1"/>
  <c r="G34" i="7" s="1"/>
  <c r="G35" i="7" s="1"/>
  <c r="I14" i="7"/>
  <c r="H17" i="7"/>
  <c r="J25" i="8" s="1"/>
  <c r="I13" i="7"/>
  <c r="H15" i="7"/>
  <c r="H18" i="7" s="1"/>
  <c r="G39" i="8"/>
  <c r="I32" i="8" l="1"/>
  <c r="J13" i="7"/>
  <c r="J15" i="7" s="1"/>
  <c r="J18" i="7" s="1"/>
  <c r="I15" i="7"/>
  <c r="I18" i="7" s="1"/>
  <c r="J14" i="7"/>
  <c r="J17" i="7" s="1"/>
  <c r="L25" i="8" s="1"/>
  <c r="I17" i="7"/>
  <c r="K25" i="8" s="1"/>
  <c r="H30" i="7"/>
  <c r="H31" i="7" s="1"/>
  <c r="H32" i="7" s="1"/>
  <c r="H34" i="7" s="1"/>
  <c r="H35" i="7" s="1"/>
  <c r="J26" i="8"/>
  <c r="J29" i="8" s="1"/>
  <c r="J32" i="8" l="1"/>
  <c r="K26" i="8"/>
  <c r="K29" i="8" s="1"/>
  <c r="I30" i="7"/>
  <c r="I31" i="7" s="1"/>
  <c r="I32" i="7" s="1"/>
  <c r="I34" i="7" s="1"/>
  <c r="I35" i="7" s="1"/>
  <c r="J30" i="7"/>
  <c r="J31" i="7" s="1"/>
  <c r="J32" i="7" s="1"/>
  <c r="J34" i="7" s="1"/>
  <c r="J35" i="7" s="1"/>
  <c r="L26" i="8"/>
  <c r="L29" i="8" s="1"/>
  <c r="L32" i="8" s="1"/>
  <c r="F37" i="7" l="1"/>
  <c r="F36" i="7"/>
  <c r="K32" i="8"/>
  <c r="G40" i="8"/>
</calcChain>
</file>

<file path=xl/sharedStrings.xml><?xml version="1.0" encoding="utf-8"?>
<sst xmlns="http://schemas.openxmlformats.org/spreadsheetml/2006/main" count="489" uniqueCount="220">
  <si>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</si>
  <si>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</si>
  <si>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</si>
  <si>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</si>
  <si>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</si>
  <si>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</si>
  <si>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</si>
  <si>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</si>
  <si>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</si>
  <si>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Per tahun</t>
  </si>
  <si>
    <t>Jumlah</t>
  </si>
  <si>
    <t>:</t>
  </si>
  <si>
    <t xml:space="preserve"> 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</si>
  <si>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</si>
  <si>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</si>
  <si>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</si>
  <si>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</si>
  <si>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</si>
  <si>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</si>
  <si>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</si>
  <si>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</si>
  <si>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</si>
  <si>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</si>
  <si>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</si>
  <si>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</si>
  <si>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</si>
  <si>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</si>
  <si>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</si>
  <si>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</si>
  <si>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</si>
  <si>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</si>
  <si>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</si>
  <si>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</si>
  <si>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</si>
  <si>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</si>
  <si>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</si>
  <si>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</si>
  <si>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</si>
  <si>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</si>
  <si>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</si>
  <si>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</si>
  <si>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</si>
  <si>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</si>
  <si>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</si>
  <si>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</si>
  <si>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</si>
  <si>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</si>
  <si>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</si>
  <si>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</si>
  <si>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</si>
  <si>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</si>
  <si>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</si>
  <si>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</si>
  <si>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</si>
  <si>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</si>
  <si>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</si>
  <si>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</si>
  <si>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</si>
  <si>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</si>
  <si>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</si>
  <si>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</si>
  <si>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</si>
  <si>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</si>
  <si>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</si>
  <si>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</si>
  <si>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</si>
  <si>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</si>
  <si>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</si>
  <si>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</si>
  <si>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</si>
  <si>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</si>
  <si>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</si>
  <si>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</si>
  <si>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SIKLUS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</si>
  <si>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</si>
  <si>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</si>
  <si>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</si>
  <si>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</si>
  <si>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</si>
  <si>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</si>
  <si>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</si>
  <si>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</si>
  <si>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</si>
  <si>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</si>
  <si>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</si>
  <si>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</si>
  <si>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</si>
  <si>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</si>
  <si>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</si>
  <si>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</si>
  <si>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</si>
  <si>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</si>
  <si>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</si>
  <si>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</si>
  <si>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</si>
  <si>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</si>
  <si>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</si>
  <si>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</si>
  <si>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</si>
  <si>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</si>
  <si>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</si>
  <si>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</si>
  <si>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</si>
  <si>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</si>
  <si>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</si>
  <si>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</si>
  <si>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</si>
  <si>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</si>
  <si>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</si>
  <si>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</si>
  <si>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</si>
  <si>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</si>
  <si>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</si>
  <si>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</si>
  <si>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</si>
  <si>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</si>
  <si>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</si>
  <si>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</si>
  <si>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</si>
  <si>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</si>
  <si>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</si>
  <si>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</si>
  <si>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</si>
  <si>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</si>
  <si>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</si>
  <si>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</si>
  <si>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</si>
  <si>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</si>
  <si>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</si>
  <si>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</si>
  <si>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</si>
  <si>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</si>
  <si>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</si>
  <si>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</si>
  <si>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</si>
  <si>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</si>
  <si>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</si>
  <si>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</si>
  <si>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</si>
  <si>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</si>
  <si>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</si>
  <si>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</si>
  <si>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</si>
  <si>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</si>
  <si>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Persen/Thn</t>
  </si>
  <si>
    <t>Total 3</t>
  </si>
  <si>
    <t>Unit</t>
  </si>
  <si>
    <t>Peralatan :</t>
  </si>
  <si>
    <t>Buah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</si>
  <si>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</si>
  <si>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</si>
  <si>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</si>
  <si>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</si>
  <si>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</si>
  <si>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</si>
  <si>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</si>
  <si>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</si>
  <si>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</si>
  <si>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</si>
  <si>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</si>
  <si>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</si>
  <si>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</si>
  <si>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</si>
  <si>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</si>
  <si>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</si>
  <si>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</si>
  <si>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</si>
  <si>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</si>
  <si>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Note : Tingkat Kematian 2 %</t>
  </si>
  <si>
    <t>Rata-rata penjualan/Siklus Produksi (6 bln)</t>
  </si>
  <si>
    <t>Pemberian obat-obatan</t>
  </si>
  <si>
    <t>Pembelian lahan</t>
  </si>
  <si>
    <t>-  Ember plastik</t>
  </si>
  <si>
    <t>Ekor</t>
  </si>
  <si>
    <t>Peternakan</t>
  </si>
  <si>
    <t>Bibit indukan</t>
  </si>
  <si>
    <t>Pembuatan kandang</t>
  </si>
  <si>
    <t>Kelahiran anak</t>
  </si>
  <si>
    <t>Pengembalaan ternak</t>
  </si>
  <si>
    <t>Pengembalaan ternak (indukan dan anakan)</t>
  </si>
  <si>
    <t>Rp/ekor</t>
  </si>
  <si>
    <t>Tahun 3 sd 10</t>
  </si>
  <si>
    <t>-  Kandang</t>
  </si>
  <si>
    <t>-  Gudang</t>
  </si>
  <si>
    <t>Pembersihan kandang</t>
  </si>
  <si>
    <t>-  Alat pembersih kandang</t>
  </si>
  <si>
    <t>Rp/ekor/thn</t>
  </si>
  <si>
    <t>Obat-obatan induk</t>
  </si>
  <si>
    <t>Obat-obatan anakan</t>
  </si>
  <si>
    <t>SIKLUS I</t>
  </si>
  <si>
    <t>SIKLUS II</t>
  </si>
  <si>
    <t>SIKLUS III</t>
  </si>
  <si>
    <t>SIKLUS IV</t>
  </si>
  <si>
    <t>SIKLUS V</t>
  </si>
  <si>
    <t>(THN KE 2)</t>
  </si>
  <si>
    <t>(THN KE 4)</t>
  </si>
  <si>
    <t>(THN KE 6)</t>
  </si>
  <si>
    <t>(THN KE 8)</t>
  </si>
  <si>
    <t>(THN KE 10)</t>
  </si>
  <si>
    <t>Ternak kambing skala 10 ekor</t>
  </si>
  <si>
    <t>Anak kambing</t>
  </si>
  <si>
    <t>Per Siklus (1 thn)</t>
  </si>
  <si>
    <t>Induk kambing</t>
  </si>
  <si>
    <t>-  Pacul</t>
  </si>
  <si>
    <t>Bibit kambing</t>
  </si>
  <si>
    <t>(1 THN)</t>
  </si>
  <si>
    <t>Biaya Overhead</t>
  </si>
  <si>
    <t>Biaya Overhead :</t>
  </si>
  <si>
    <t xml:space="preserve">  </t>
  </si>
  <si>
    <t xml:space="preserve">Jumlah biaya overhead </t>
  </si>
  <si>
    <t xml:space="preserve">Total Biaya Operasional </t>
  </si>
  <si>
    <t>Biaya Bahan</t>
  </si>
  <si>
    <t>Biaya Tenaga Kerja</t>
  </si>
  <si>
    <t>Biaya Over Head</t>
  </si>
  <si>
    <t>Total 2</t>
  </si>
  <si>
    <t>Rata-Rata Laba Bersih/Tahun</t>
  </si>
  <si>
    <t>Rata-Rata Profit Marjin (%)</t>
  </si>
  <si>
    <t xml:space="preserve">UMUR </t>
  </si>
  <si>
    <t>Operasional  kendaraan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</si>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</sst>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41" fontId="0" fillId="0" borderId="0" xfId="1" applyFont="1"/>
    <xf numFmtId="0" fontId="8" fillId="2" borderId="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6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0" xfId="0" applyFont="1"/>
    <xf numFmtId="0" fontId="1" fillId="0" borderId="1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8" fillId="0" borderId="3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0" fontId="0" fillId="0" borderId="5" xfId="0" quotePrefix="1" applyBorder="1"/>
    <xf numFmtId="43" fontId="0" fillId="0" borderId="1" xfId="0" applyNumberFormat="1" applyBorder="1"/>
    <xf numFmtId="41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4.42578125" customWidth="1"/>
    <col min="3" max="3" width="22.140625" customWidth="1"/>
    <col min="4" max="4" width="3.28515625" customWidth="1"/>
    <col min="5" max="5" width="17.28515625" customWidth="1"/>
    <col min="7" max="7" width="9.140625" hidden="1" customWidth="1"/>
    <col min="8" max="8" width="15.140625" customWidth="1"/>
    <col min="9" max="9" width="16" bestFit="1" customWidth="1"/>
    <col min="10" max="10" width="13.28515625" customWidth="1"/>
  </cols>
  <sheetData>
    <row r="1" spans="2:10" x14ac:dyDescent="0.25">
      <c r="B1" t="s">
        <v>13</v>
      </c>
    </row>
    <row r="2" spans="2:10" x14ac:dyDescent="0.25">
      <c r="B2" s="3" t="s">
        <v>0</v>
      </c>
      <c r="C2" s="3"/>
      <c r="D2" s="2" t="s">
        <v>12</v>
      </c>
    </row>
    <row r="3" spans="2:10" x14ac:dyDescent="0.25">
      <c r="B3" t="s">
        <v>1</v>
      </c>
      <c r="D3" s="62" t="s">
        <v>11</v>
      </c>
      <c r="E3" t="s">
        <v>174</v>
      </c>
    </row>
    <row r="4" spans="2:10" x14ac:dyDescent="0.25">
      <c r="B4" t="s">
        <v>2</v>
      </c>
      <c r="D4" s="62" t="s">
        <v>11</v>
      </c>
      <c r="E4" t="s">
        <v>199</v>
      </c>
    </row>
    <row r="5" spans="2:10" x14ac:dyDescent="0.25">
      <c r="D5" s="62"/>
    </row>
    <row r="6" spans="2:10" x14ac:dyDescent="0.25">
      <c r="B6" s="141" t="s">
        <v>169</v>
      </c>
      <c r="C6" s="141"/>
      <c r="D6" s="141"/>
      <c r="E6" s="141"/>
      <c r="F6" s="141"/>
      <c r="G6" s="141"/>
      <c r="H6" s="141"/>
      <c r="I6" s="136" t="s">
        <v>3</v>
      </c>
      <c r="J6" s="137"/>
    </row>
    <row r="7" spans="2:10" x14ac:dyDescent="0.25">
      <c r="B7" s="1" t="s">
        <v>4</v>
      </c>
      <c r="C7" s="119" t="s">
        <v>5</v>
      </c>
      <c r="D7" s="122"/>
      <c r="E7" s="109" t="s">
        <v>6</v>
      </c>
      <c r="F7" s="142" t="s">
        <v>7</v>
      </c>
      <c r="G7" s="142"/>
      <c r="H7" s="127" t="s">
        <v>8</v>
      </c>
      <c r="I7" s="127" t="s">
        <v>201</v>
      </c>
      <c r="J7" s="109" t="s">
        <v>9</v>
      </c>
    </row>
    <row r="8" spans="2:10" x14ac:dyDescent="0.25">
      <c r="B8" s="1" t="s">
        <v>24</v>
      </c>
      <c r="C8" s="100" t="s">
        <v>175</v>
      </c>
      <c r="D8" s="101"/>
      <c r="E8" s="72">
        <v>10</v>
      </c>
      <c r="F8" s="124" t="s">
        <v>173</v>
      </c>
      <c r="G8" s="86"/>
      <c r="H8" s="123">
        <v>5000000</v>
      </c>
      <c r="I8" s="123">
        <f>+H8*E8</f>
        <v>50000000</v>
      </c>
      <c r="J8" s="128">
        <f>+I8</f>
        <v>50000000</v>
      </c>
    </row>
    <row r="9" spans="2:10" x14ac:dyDescent="0.25">
      <c r="B9" s="1" t="s">
        <v>27</v>
      </c>
      <c r="C9" s="119" t="s">
        <v>200</v>
      </c>
      <c r="D9" s="120"/>
      <c r="E9" s="125">
        <v>2</v>
      </c>
      <c r="F9" s="136" t="s">
        <v>173</v>
      </c>
      <c r="G9" s="137"/>
      <c r="H9" s="125">
        <v>1500000</v>
      </c>
      <c r="I9" s="123">
        <f>+H9*E9</f>
        <v>3000000</v>
      </c>
      <c r="J9" s="128">
        <f>+I9</f>
        <v>3000000</v>
      </c>
    </row>
    <row r="10" spans="2:10" x14ac:dyDescent="0.25">
      <c r="B10" s="1"/>
      <c r="C10" s="121" t="s">
        <v>12</v>
      </c>
      <c r="D10" s="120"/>
      <c r="E10" s="99"/>
      <c r="F10" s="138"/>
      <c r="G10" s="140"/>
      <c r="H10" s="99"/>
      <c r="I10" s="126">
        <f>SUM(I8:I9)</f>
        <v>53000000</v>
      </c>
      <c r="J10" s="135">
        <f>SUM(J8:J9)</f>
        <v>53000000</v>
      </c>
    </row>
    <row r="11" spans="2:10" x14ac:dyDescent="0.25">
      <c r="B11" s="138" t="s">
        <v>10</v>
      </c>
      <c r="C11" s="139"/>
      <c r="D11" s="139"/>
      <c r="E11" s="139"/>
      <c r="F11" s="139"/>
      <c r="G11" s="139"/>
      <c r="H11" s="139"/>
      <c r="I11" s="139"/>
      <c r="J11" s="128">
        <f>+J10</f>
        <v>53000000</v>
      </c>
    </row>
    <row r="12" spans="2:10" x14ac:dyDescent="0.25">
      <c r="B12" t="s">
        <v>168</v>
      </c>
      <c r="J12" t="s">
        <v>12</v>
      </c>
    </row>
    <row r="16" spans="2:10" x14ac:dyDescent="0.25">
      <c r="H16" s="104" t="s">
        <v>12</v>
      </c>
    </row>
  </sheetData>
  <mergeCells count="6">
    <mergeCell ref="F9:G9"/>
    <mergeCell ref="B11:I11"/>
    <mergeCell ref="F10:G10"/>
    <mergeCell ref="B6:H6"/>
    <mergeCell ref="F7:G7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3"/>
  <sheetViews>
    <sheetView workbookViewId="0">
      <selection activeCell="A2" sqref="A2"/>
    </sheetView>
  </sheetViews>
  <sheetFormatPr defaultRowHeight="15" x14ac:dyDescent="0.25"/>
  <cols>
    <col min="1" max="1" width="4.140625" customWidth="1"/>
    <col min="2" max="2" width="5.5703125" customWidth="1"/>
    <col min="3" max="3" width="33.5703125" customWidth="1"/>
    <col min="4" max="4" width="2.85546875" customWidth="1"/>
    <col min="5" max="8" width="9.140625" hidden="1" customWidth="1"/>
    <col min="9" max="9" width="4.140625" customWidth="1"/>
    <col min="10" max="10" width="11.5703125" customWidth="1"/>
    <col min="11" max="11" width="11.140625" customWidth="1"/>
  </cols>
  <sheetData>
    <row r="1" spans="2:11" x14ac:dyDescent="0.25">
      <c r="B1" t="s">
        <v>14</v>
      </c>
    </row>
    <row r="2" spans="2:11" x14ac:dyDescent="0.25">
      <c r="B2" s="3" t="s">
        <v>16</v>
      </c>
      <c r="C2" s="3"/>
      <c r="D2" s="2" t="s">
        <v>12</v>
      </c>
    </row>
    <row r="3" spans="2:11" x14ac:dyDescent="0.25">
      <c r="B3" t="s">
        <v>1</v>
      </c>
      <c r="D3" s="62" t="s">
        <v>11</v>
      </c>
      <c r="I3" t="s">
        <v>174</v>
      </c>
    </row>
    <row r="4" spans="2:11" x14ac:dyDescent="0.25">
      <c r="B4" t="s">
        <v>2</v>
      </c>
      <c r="D4" s="62" t="s">
        <v>11</v>
      </c>
      <c r="I4" t="s">
        <v>199</v>
      </c>
    </row>
    <row r="6" spans="2:11" x14ac:dyDescent="0.25">
      <c r="B6" s="79" t="s">
        <v>4</v>
      </c>
      <c r="C6" s="143" t="s">
        <v>17</v>
      </c>
      <c r="D6" s="144"/>
      <c r="E6" s="144"/>
      <c r="F6" s="144"/>
      <c r="G6" s="144"/>
      <c r="H6" s="144"/>
      <c r="I6" s="144"/>
      <c r="J6" s="80" t="s">
        <v>15</v>
      </c>
      <c r="K6" s="81" t="s">
        <v>7</v>
      </c>
    </row>
    <row r="7" spans="2:11" x14ac:dyDescent="0.25">
      <c r="B7" s="73" t="s">
        <v>24</v>
      </c>
      <c r="C7" s="66" t="s">
        <v>176</v>
      </c>
      <c r="D7" s="67"/>
      <c r="E7" s="67"/>
      <c r="F7" s="67"/>
      <c r="G7" s="67"/>
      <c r="H7" s="67"/>
      <c r="I7" s="67"/>
      <c r="J7" s="72">
        <v>3</v>
      </c>
      <c r="K7" s="109" t="s">
        <v>77</v>
      </c>
    </row>
    <row r="8" spans="2:11" x14ac:dyDescent="0.25">
      <c r="B8" s="74" t="s">
        <v>27</v>
      </c>
      <c r="C8" s="68" t="s">
        <v>179</v>
      </c>
      <c r="D8" s="69"/>
      <c r="E8" s="69"/>
      <c r="F8" s="69"/>
      <c r="G8" s="69"/>
      <c r="H8" s="69"/>
      <c r="I8" s="69"/>
      <c r="J8" s="71">
        <v>20</v>
      </c>
      <c r="K8" s="110" t="s">
        <v>77</v>
      </c>
    </row>
    <row r="9" spans="2:11" x14ac:dyDescent="0.25">
      <c r="B9" s="73" t="s">
        <v>29</v>
      </c>
      <c r="C9" s="66" t="s">
        <v>170</v>
      </c>
      <c r="D9" s="67"/>
      <c r="E9" s="67"/>
      <c r="F9" s="67"/>
      <c r="G9" s="67"/>
      <c r="H9" s="67"/>
      <c r="I9" s="67"/>
      <c r="J9" s="72">
        <v>2</v>
      </c>
      <c r="K9" s="109" t="s">
        <v>77</v>
      </c>
    </row>
    <row r="10" spans="2:11" x14ac:dyDescent="0.25">
      <c r="B10" s="75" t="s">
        <v>33</v>
      </c>
      <c r="C10" s="66" t="s">
        <v>177</v>
      </c>
      <c r="D10" s="67"/>
      <c r="E10" s="67"/>
      <c r="F10" s="67"/>
      <c r="G10" s="67"/>
      <c r="H10" s="67"/>
      <c r="I10" s="67"/>
      <c r="J10" s="72">
        <v>2</v>
      </c>
      <c r="K10" s="109" t="s">
        <v>77</v>
      </c>
    </row>
    <row r="11" spans="2:11" x14ac:dyDescent="0.25">
      <c r="B11" s="105" t="s">
        <v>34</v>
      </c>
      <c r="C11" s="106" t="s">
        <v>184</v>
      </c>
      <c r="D11" s="82"/>
      <c r="E11" s="82"/>
      <c r="F11" s="82"/>
      <c r="G11" s="82"/>
      <c r="H11" s="82"/>
      <c r="I11" s="82"/>
      <c r="J11" s="107">
        <v>10</v>
      </c>
      <c r="K11" s="109" t="s">
        <v>77</v>
      </c>
    </row>
    <row r="12" spans="2:11" x14ac:dyDescent="0.25">
      <c r="B12" s="76" t="s">
        <v>12</v>
      </c>
      <c r="C12" s="77" t="s">
        <v>10</v>
      </c>
      <c r="D12" s="70"/>
      <c r="E12" s="70"/>
      <c r="F12" s="70"/>
      <c r="G12" s="70"/>
      <c r="H12" s="70"/>
      <c r="I12" s="70"/>
      <c r="J12" s="108">
        <f>SUM(J7:J11)</f>
        <v>37</v>
      </c>
      <c r="K12" s="111" t="s">
        <v>77</v>
      </c>
    </row>
    <row r="13" spans="2:11" x14ac:dyDescent="0.25">
      <c r="B13" t="s">
        <v>139</v>
      </c>
    </row>
  </sheetData>
  <mergeCells count="1">
    <mergeCell ref="C6:I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3"/>
  <sheetViews>
    <sheetView zoomScale="60" zoomScaleNormal="60" workbookViewId="0">
      <selection activeCell="L20" sqref="L20"/>
    </sheetView>
  </sheetViews>
  <sheetFormatPr defaultRowHeight="15" x14ac:dyDescent="0.25"/>
  <cols>
    <col min="1" max="1" width="4" customWidth="1"/>
    <col min="2" max="2" width="5.5703125" customWidth="1"/>
    <col min="3" max="3" width="5.42578125" customWidth="1"/>
    <col min="4" max="4" width="27" customWidth="1"/>
    <col min="5" max="5" width="3.28515625" customWidth="1"/>
    <col min="6" max="6" width="15" customWidth="1"/>
    <col min="7" max="7" width="16.7109375" customWidth="1"/>
  </cols>
  <sheetData>
    <row r="2" spans="2:7" ht="15.75" x14ac:dyDescent="0.25">
      <c r="B2" s="4" t="s">
        <v>18</v>
      </c>
      <c r="C2" s="4"/>
      <c r="D2" s="4"/>
      <c r="E2" s="4"/>
    </row>
    <row r="3" spans="2:7" ht="15.75" x14ac:dyDescent="0.25">
      <c r="B3" s="5" t="s">
        <v>19</v>
      </c>
      <c r="C3" s="5"/>
      <c r="D3" s="5"/>
      <c r="E3" s="6" t="s">
        <v>12</v>
      </c>
    </row>
    <row r="4" spans="2:7" ht="15.75" x14ac:dyDescent="0.25">
      <c r="B4" s="5" t="s">
        <v>1</v>
      </c>
      <c r="C4" s="5"/>
      <c r="D4" s="5"/>
      <c r="E4" s="56" t="s">
        <v>11</v>
      </c>
      <c r="F4" t="s">
        <v>174</v>
      </c>
    </row>
    <row r="5" spans="2:7" ht="15.75" x14ac:dyDescent="0.25">
      <c r="B5" s="5" t="s">
        <v>2</v>
      </c>
      <c r="C5" s="5"/>
      <c r="D5" s="5"/>
      <c r="E5" s="56" t="s">
        <v>11</v>
      </c>
      <c r="F5" t="s">
        <v>199</v>
      </c>
    </row>
    <row r="6" spans="2:7" ht="15.75" x14ac:dyDescent="0.25">
      <c r="B6" s="27" t="s">
        <v>20</v>
      </c>
      <c r="C6" s="145" t="s">
        <v>21</v>
      </c>
      <c r="D6" s="146"/>
      <c r="E6" s="146"/>
      <c r="F6" s="29" t="s">
        <v>22</v>
      </c>
      <c r="G6" s="29" t="s">
        <v>23</v>
      </c>
    </row>
    <row r="7" spans="2:7" x14ac:dyDescent="0.25">
      <c r="B7" s="11" t="s">
        <v>24</v>
      </c>
      <c r="C7" s="14" t="s">
        <v>25</v>
      </c>
      <c r="D7" s="15"/>
      <c r="E7" s="15"/>
      <c r="F7" s="11">
        <v>5</v>
      </c>
      <c r="G7" s="25" t="s">
        <v>26</v>
      </c>
    </row>
    <row r="8" spans="2:7" x14ac:dyDescent="0.25">
      <c r="B8" s="26" t="s">
        <v>27</v>
      </c>
      <c r="C8" s="22" t="s">
        <v>30</v>
      </c>
      <c r="D8" s="23"/>
      <c r="E8" s="23"/>
      <c r="F8" s="19">
        <v>12</v>
      </c>
      <c r="G8" s="10" t="s">
        <v>28</v>
      </c>
    </row>
    <row r="9" spans="2:7" x14ac:dyDescent="0.25">
      <c r="B9" s="20" t="s">
        <v>29</v>
      </c>
      <c r="C9" s="17" t="s">
        <v>31</v>
      </c>
      <c r="F9" s="12">
        <v>30</v>
      </c>
      <c r="G9" s="21" t="s">
        <v>32</v>
      </c>
    </row>
    <row r="10" spans="2:7" x14ac:dyDescent="0.25">
      <c r="B10" s="26" t="s">
        <v>33</v>
      </c>
      <c r="C10" s="22" t="s">
        <v>142</v>
      </c>
      <c r="D10" s="23"/>
      <c r="E10" s="23"/>
      <c r="F10" s="57">
        <v>12</v>
      </c>
      <c r="G10" s="10" t="s">
        <v>28</v>
      </c>
    </row>
    <row r="11" spans="2:7" x14ac:dyDescent="0.25">
      <c r="B11" s="26" t="s">
        <v>34</v>
      </c>
      <c r="C11" s="22" t="s">
        <v>141</v>
      </c>
      <c r="D11" s="23"/>
      <c r="E11" s="23"/>
      <c r="F11" s="60" t="s">
        <v>140</v>
      </c>
      <c r="G11" s="10" t="s">
        <v>35</v>
      </c>
    </row>
    <row r="12" spans="2:7" x14ac:dyDescent="0.25">
      <c r="B12" s="20" t="s">
        <v>36</v>
      </c>
      <c r="C12" s="17" t="s">
        <v>143</v>
      </c>
      <c r="F12" s="12"/>
      <c r="G12" s="12"/>
    </row>
    <row r="13" spans="2:7" x14ac:dyDescent="0.25">
      <c r="B13" s="12"/>
      <c r="C13" s="29" t="s">
        <v>4</v>
      </c>
      <c r="D13" s="145" t="s">
        <v>37</v>
      </c>
      <c r="E13" s="146"/>
      <c r="F13" s="29" t="s">
        <v>10</v>
      </c>
      <c r="G13" s="29" t="s">
        <v>7</v>
      </c>
    </row>
    <row r="14" spans="2:7" x14ac:dyDescent="0.25">
      <c r="B14" s="12"/>
      <c r="C14" s="26" t="s">
        <v>24</v>
      </c>
      <c r="D14" s="23" t="s">
        <v>202</v>
      </c>
      <c r="E14" s="23"/>
      <c r="F14" s="58">
        <f>+'Tabel Lampiran 1'!E8</f>
        <v>10</v>
      </c>
      <c r="G14" s="10" t="s">
        <v>173</v>
      </c>
    </row>
    <row r="15" spans="2:7" x14ac:dyDescent="0.25">
      <c r="B15" s="12"/>
      <c r="C15" s="26" t="s">
        <v>27</v>
      </c>
      <c r="D15" s="23" t="s">
        <v>200</v>
      </c>
      <c r="E15" s="23"/>
      <c r="F15" s="58">
        <f>+'Tabel Lampiran 1'!E9</f>
        <v>2</v>
      </c>
      <c r="G15" s="10" t="s">
        <v>173</v>
      </c>
    </row>
    <row r="16" spans="2:7" x14ac:dyDescent="0.25">
      <c r="B16" s="11" t="s">
        <v>38</v>
      </c>
      <c r="C16" s="17" t="s">
        <v>39</v>
      </c>
      <c r="F16" s="12"/>
      <c r="G16" s="12"/>
    </row>
    <row r="17" spans="2:7" x14ac:dyDescent="0.25">
      <c r="B17" s="12"/>
      <c r="C17" s="29" t="s">
        <v>4</v>
      </c>
      <c r="D17" s="146" t="s">
        <v>37</v>
      </c>
      <c r="E17" s="146"/>
      <c r="F17" s="29" t="s">
        <v>8</v>
      </c>
      <c r="G17" s="29" t="s">
        <v>7</v>
      </c>
    </row>
    <row r="18" spans="2:7" x14ac:dyDescent="0.25">
      <c r="B18" s="12"/>
      <c r="C18" s="26" t="s">
        <v>24</v>
      </c>
      <c r="D18" s="23" t="s">
        <v>202</v>
      </c>
      <c r="E18" s="15"/>
      <c r="F18" s="102">
        <f>+'Tabel Lampiran 1'!H8</f>
        <v>5000000</v>
      </c>
      <c r="G18" s="10" t="s">
        <v>180</v>
      </c>
    </row>
    <row r="19" spans="2:7" x14ac:dyDescent="0.25">
      <c r="B19" s="12"/>
      <c r="C19" s="26" t="s">
        <v>27</v>
      </c>
      <c r="D19" s="23" t="s">
        <v>200</v>
      </c>
      <c r="E19" s="23"/>
      <c r="F19" s="59">
        <f>+'Tabel Lampiran 1'!H9</f>
        <v>1500000</v>
      </c>
      <c r="G19" s="10" t="s">
        <v>180</v>
      </c>
    </row>
    <row r="20" spans="2:7" x14ac:dyDescent="0.25">
      <c r="B20" s="11" t="s">
        <v>40</v>
      </c>
      <c r="C20" s="17" t="s">
        <v>41</v>
      </c>
      <c r="F20" s="12"/>
      <c r="G20" s="12"/>
    </row>
    <row r="21" spans="2:7" x14ac:dyDescent="0.25">
      <c r="B21" s="12"/>
      <c r="C21" s="22" t="s">
        <v>42</v>
      </c>
      <c r="D21" s="23" t="s">
        <v>43</v>
      </c>
      <c r="E21" s="23"/>
      <c r="F21" s="19">
        <v>70</v>
      </c>
      <c r="G21" s="10" t="s">
        <v>47</v>
      </c>
    </row>
    <row r="22" spans="2:7" x14ac:dyDescent="0.25">
      <c r="B22" s="12"/>
      <c r="C22" s="17" t="s">
        <v>45</v>
      </c>
      <c r="D22" t="s">
        <v>44</v>
      </c>
      <c r="F22" s="12">
        <v>80</v>
      </c>
      <c r="G22" s="10" t="s">
        <v>47</v>
      </c>
    </row>
    <row r="23" spans="2:7" x14ac:dyDescent="0.25">
      <c r="B23" s="13"/>
      <c r="C23" s="22" t="s">
        <v>46</v>
      </c>
      <c r="D23" s="23" t="s">
        <v>181</v>
      </c>
      <c r="E23" s="23"/>
      <c r="F23" s="19">
        <v>90</v>
      </c>
      <c r="G23" s="10" t="s">
        <v>47</v>
      </c>
    </row>
    <row r="24" spans="2:7" x14ac:dyDescent="0.25">
      <c r="B24" s="20" t="s">
        <v>48</v>
      </c>
      <c r="C24" s="17" t="s">
        <v>49</v>
      </c>
      <c r="F24" s="12">
        <v>10</v>
      </c>
      <c r="G24" s="10" t="s">
        <v>144</v>
      </c>
    </row>
    <row r="25" spans="2:7" x14ac:dyDescent="0.25">
      <c r="B25" s="26" t="s">
        <v>50</v>
      </c>
      <c r="C25" s="22" t="s">
        <v>51</v>
      </c>
      <c r="D25" s="23"/>
      <c r="E25" s="23"/>
      <c r="F25" s="19">
        <v>10</v>
      </c>
      <c r="G25" s="10" t="s">
        <v>144</v>
      </c>
    </row>
    <row r="26" spans="2:7" x14ac:dyDescent="0.25">
      <c r="B26" s="26" t="s">
        <v>52</v>
      </c>
      <c r="C26" s="22" t="s">
        <v>53</v>
      </c>
      <c r="D26" s="23"/>
      <c r="E26" s="23"/>
      <c r="F26" s="19"/>
      <c r="G26" s="10"/>
    </row>
    <row r="27" spans="2:7" x14ac:dyDescent="0.25">
      <c r="B27" s="12"/>
      <c r="C27" s="17" t="s">
        <v>42</v>
      </c>
      <c r="D27" t="s">
        <v>54</v>
      </c>
      <c r="F27" s="12">
        <v>70</v>
      </c>
      <c r="G27" s="10" t="s">
        <v>47</v>
      </c>
    </row>
    <row r="28" spans="2:7" x14ac:dyDescent="0.25">
      <c r="B28" s="19"/>
      <c r="C28" s="22" t="s">
        <v>45</v>
      </c>
      <c r="D28" s="23" t="s">
        <v>55</v>
      </c>
      <c r="E28" s="23"/>
      <c r="F28" s="19">
        <v>30</v>
      </c>
      <c r="G28" s="10" t="s">
        <v>47</v>
      </c>
    </row>
    <row r="29" spans="2:7" x14ac:dyDescent="0.25">
      <c r="B29" s="20" t="s">
        <v>56</v>
      </c>
      <c r="C29" s="17" t="s">
        <v>57</v>
      </c>
      <c r="F29" s="12"/>
      <c r="G29" s="21"/>
    </row>
    <row r="30" spans="2:7" x14ac:dyDescent="0.25">
      <c r="B30" s="19"/>
      <c r="C30" s="22" t="s">
        <v>42</v>
      </c>
      <c r="D30" s="23" t="s">
        <v>54</v>
      </c>
      <c r="E30" s="23"/>
      <c r="F30" s="19">
        <v>70</v>
      </c>
      <c r="G30" s="10" t="s">
        <v>47</v>
      </c>
    </row>
    <row r="31" spans="2:7" x14ac:dyDescent="0.25">
      <c r="B31" s="19"/>
      <c r="C31" s="22" t="s">
        <v>45</v>
      </c>
      <c r="D31" s="23" t="s">
        <v>55</v>
      </c>
      <c r="E31" s="23"/>
      <c r="F31" s="19">
        <v>30</v>
      </c>
      <c r="G31" s="10" t="s">
        <v>47</v>
      </c>
    </row>
    <row r="32" spans="2:7" x14ac:dyDescent="0.25">
      <c r="B32" s="20" t="s">
        <v>58</v>
      </c>
      <c r="C32" s="17" t="s">
        <v>59</v>
      </c>
      <c r="F32" s="12">
        <v>5</v>
      </c>
      <c r="G32" s="21" t="s">
        <v>26</v>
      </c>
    </row>
    <row r="33" spans="2:7" x14ac:dyDescent="0.25">
      <c r="B33" s="26" t="s">
        <v>60</v>
      </c>
      <c r="C33" s="22" t="s">
        <v>61</v>
      </c>
      <c r="D33" s="23"/>
      <c r="E33" s="23"/>
      <c r="F33" s="19">
        <v>5</v>
      </c>
      <c r="G33" s="10" t="s">
        <v>26</v>
      </c>
    </row>
  </sheetData>
  <mergeCells count="3">
    <mergeCell ref="C6:E6"/>
    <mergeCell ref="D13:E13"/>
    <mergeCell ref="D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workbookViewId="0">
      <selection activeCell="A3" sqref="A3"/>
    </sheetView>
  </sheetViews>
  <sheetFormatPr defaultRowHeight="15" x14ac:dyDescent="0.25"/>
  <cols>
    <col min="1" max="1" width="4.140625" customWidth="1"/>
    <col min="2" max="2" width="5.140625" customWidth="1"/>
    <col min="3" max="3" width="24.42578125" bestFit="1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1.5703125" bestFit="1" customWidth="1"/>
    <col min="9" max="9" width="8.140625" customWidth="1"/>
    <col min="10" max="10" width="16.28515625" customWidth="1"/>
  </cols>
  <sheetData>
    <row r="2" spans="2:10" x14ac:dyDescent="0.25">
      <c r="B2" t="s">
        <v>70</v>
      </c>
    </row>
    <row r="3" spans="2:10" x14ac:dyDescent="0.25">
      <c r="B3" s="3" t="s">
        <v>62</v>
      </c>
      <c r="C3" s="3"/>
      <c r="D3" s="3"/>
      <c r="E3" s="30"/>
    </row>
    <row r="4" spans="2:10" x14ac:dyDescent="0.25">
      <c r="B4" s="3" t="s">
        <v>1</v>
      </c>
      <c r="C4" s="3"/>
      <c r="D4" s="35" t="s">
        <v>11</v>
      </c>
      <c r="E4" t="s">
        <v>174</v>
      </c>
    </row>
    <row r="5" spans="2:10" x14ac:dyDescent="0.25">
      <c r="B5" s="3" t="s">
        <v>2</v>
      </c>
      <c r="C5" s="3"/>
      <c r="D5" s="35" t="s">
        <v>11</v>
      </c>
      <c r="E5" t="s">
        <v>199</v>
      </c>
    </row>
    <row r="7" spans="2:10" x14ac:dyDescent="0.25">
      <c r="B7" s="36" t="s">
        <v>20</v>
      </c>
      <c r="C7" s="147" t="s">
        <v>21</v>
      </c>
      <c r="D7" s="148"/>
      <c r="E7" s="38" t="s">
        <v>63</v>
      </c>
      <c r="F7" s="38" t="s">
        <v>23</v>
      </c>
      <c r="G7" s="38" t="s">
        <v>64</v>
      </c>
      <c r="H7" s="38" t="s">
        <v>22</v>
      </c>
      <c r="I7" s="38" t="s">
        <v>217</v>
      </c>
      <c r="J7" s="38" t="s">
        <v>87</v>
      </c>
    </row>
    <row r="8" spans="2:10" x14ac:dyDescent="0.25">
      <c r="B8" s="39"/>
      <c r="C8" s="40"/>
      <c r="D8" s="41"/>
      <c r="E8" s="39"/>
      <c r="F8" s="39"/>
      <c r="G8" s="42" t="s">
        <v>23</v>
      </c>
      <c r="H8" s="42" t="s">
        <v>89</v>
      </c>
      <c r="I8" s="43" t="s">
        <v>65</v>
      </c>
      <c r="J8" s="42" t="s">
        <v>88</v>
      </c>
    </row>
    <row r="9" spans="2:10" x14ac:dyDescent="0.25">
      <c r="B9" s="33" t="s">
        <v>24</v>
      </c>
      <c r="C9" s="17" t="s">
        <v>171</v>
      </c>
      <c r="E9" s="103">
        <v>30</v>
      </c>
      <c r="F9" s="10" t="s">
        <v>67</v>
      </c>
      <c r="G9" s="103">
        <v>250000</v>
      </c>
      <c r="H9" s="59">
        <f>+E9*G9</f>
        <v>7500000</v>
      </c>
      <c r="I9" s="10" t="s">
        <v>140</v>
      </c>
      <c r="J9" s="60">
        <v>0</v>
      </c>
    </row>
    <row r="10" spans="2:10" x14ac:dyDescent="0.25">
      <c r="B10" s="32" t="s">
        <v>27</v>
      </c>
      <c r="C10" s="22" t="s">
        <v>68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22"/>
      <c r="C11" s="32" t="s">
        <v>182</v>
      </c>
      <c r="D11" s="133"/>
      <c r="E11" s="19">
        <v>25</v>
      </c>
      <c r="F11" s="10" t="s">
        <v>67</v>
      </c>
      <c r="G11" s="58">
        <v>200000</v>
      </c>
      <c r="H11" s="59">
        <f>+E11*G11</f>
        <v>5000000</v>
      </c>
      <c r="I11" s="19">
        <v>15</v>
      </c>
      <c r="J11" s="58">
        <f>+H11/I11</f>
        <v>333333.33333333331</v>
      </c>
    </row>
    <row r="12" spans="2:10" x14ac:dyDescent="0.25">
      <c r="B12" s="17"/>
      <c r="C12" s="33" t="s">
        <v>183</v>
      </c>
      <c r="D12" s="2"/>
      <c r="E12" s="60">
        <v>15</v>
      </c>
      <c r="F12" s="10" t="s">
        <v>67</v>
      </c>
      <c r="G12" s="103">
        <v>300000</v>
      </c>
      <c r="H12" s="59">
        <f>+E12*G12</f>
        <v>4500000</v>
      </c>
      <c r="I12" s="60">
        <v>15</v>
      </c>
      <c r="J12" s="58">
        <f>+H12/I12</f>
        <v>300000</v>
      </c>
    </row>
    <row r="13" spans="2:10" x14ac:dyDescent="0.25">
      <c r="B13" s="22"/>
      <c r="C13" s="32" t="s">
        <v>214</v>
      </c>
      <c r="D13" s="34"/>
      <c r="E13" s="19"/>
      <c r="F13" s="10" t="s">
        <v>12</v>
      </c>
      <c r="G13" s="19"/>
      <c r="H13" s="58">
        <f>SUM(H9:H12)</f>
        <v>17000000</v>
      </c>
      <c r="I13" s="19"/>
      <c r="J13" s="58">
        <f>SUM(J9:J12)</f>
        <v>633333.33333333326</v>
      </c>
    </row>
    <row r="14" spans="2:10" x14ac:dyDescent="0.25">
      <c r="B14" s="32" t="s">
        <v>29</v>
      </c>
      <c r="C14" s="22" t="s">
        <v>147</v>
      </c>
      <c r="D14" s="24"/>
      <c r="E14" s="11" t="s">
        <v>12</v>
      </c>
      <c r="F14" s="10" t="s">
        <v>12</v>
      </c>
      <c r="G14" s="19"/>
      <c r="H14" s="19"/>
      <c r="I14" s="19"/>
      <c r="J14" s="19"/>
    </row>
    <row r="15" spans="2:10" x14ac:dyDescent="0.25">
      <c r="B15" s="32"/>
      <c r="C15" s="32" t="s">
        <v>172</v>
      </c>
      <c r="D15" s="24"/>
      <c r="E15" s="11">
        <v>1</v>
      </c>
      <c r="F15" s="10" t="s">
        <v>148</v>
      </c>
      <c r="G15" s="58">
        <v>25000</v>
      </c>
      <c r="H15" s="59">
        <f t="shared" ref="H15:H16" si="0">+E15*G15</f>
        <v>25000</v>
      </c>
      <c r="I15" s="19">
        <v>2</v>
      </c>
      <c r="J15" s="58">
        <f t="shared" ref="J15:J17" si="1">+H15/I15</f>
        <v>12500</v>
      </c>
    </row>
    <row r="16" spans="2:10" x14ac:dyDescent="0.25">
      <c r="B16" s="32"/>
      <c r="C16" s="32" t="s">
        <v>203</v>
      </c>
      <c r="D16" s="24"/>
      <c r="E16" s="11">
        <v>1</v>
      </c>
      <c r="F16" s="10" t="s">
        <v>148</v>
      </c>
      <c r="G16" s="58">
        <v>75000</v>
      </c>
      <c r="H16" s="59">
        <f t="shared" si="0"/>
        <v>75000</v>
      </c>
      <c r="I16" s="19">
        <v>2</v>
      </c>
      <c r="J16" s="58">
        <f t="shared" si="1"/>
        <v>37500</v>
      </c>
    </row>
    <row r="17" spans="2:10" x14ac:dyDescent="0.25">
      <c r="B17" s="32"/>
      <c r="C17" s="32" t="s">
        <v>185</v>
      </c>
      <c r="D17" s="24"/>
      <c r="E17" s="11">
        <v>1</v>
      </c>
      <c r="F17" s="10" t="s">
        <v>66</v>
      </c>
      <c r="G17" s="58">
        <v>300000</v>
      </c>
      <c r="H17" s="59">
        <f t="shared" ref="H17" si="2">+E17*G17</f>
        <v>300000</v>
      </c>
      <c r="I17" s="19">
        <v>2</v>
      </c>
      <c r="J17" s="58">
        <f t="shared" si="1"/>
        <v>150000</v>
      </c>
    </row>
    <row r="18" spans="2:10" x14ac:dyDescent="0.25">
      <c r="B18" s="32"/>
      <c r="C18" s="32" t="s">
        <v>145</v>
      </c>
      <c r="D18" s="23"/>
      <c r="E18" s="19"/>
      <c r="F18" s="10"/>
      <c r="G18" s="19"/>
      <c r="H18" s="59">
        <f>SUM(H15:H17)</f>
        <v>400000</v>
      </c>
      <c r="I18" s="19"/>
      <c r="J18" s="59">
        <f>SUM(J15:J17)</f>
        <v>200000</v>
      </c>
    </row>
    <row r="19" spans="2:10" x14ac:dyDescent="0.25">
      <c r="B19" s="33" t="s">
        <v>33</v>
      </c>
      <c r="C19" s="17" t="s">
        <v>69</v>
      </c>
      <c r="E19" s="12">
        <v>1</v>
      </c>
      <c r="F19" s="129" t="s">
        <v>146</v>
      </c>
      <c r="G19" s="58">
        <v>14000000</v>
      </c>
      <c r="H19" s="59">
        <f t="shared" ref="H19" si="3">+E19*G19</f>
        <v>14000000</v>
      </c>
      <c r="I19" s="19">
        <v>5</v>
      </c>
      <c r="J19" s="58">
        <f t="shared" ref="J19" si="4">+H19/I19</f>
        <v>2800000</v>
      </c>
    </row>
    <row r="20" spans="2:10" x14ac:dyDescent="0.25">
      <c r="B20" s="22"/>
      <c r="C20" s="22" t="s">
        <v>10</v>
      </c>
      <c r="D20" s="23"/>
      <c r="E20" s="19"/>
      <c r="F20" s="19"/>
      <c r="G20" s="19"/>
      <c r="H20" s="59">
        <f>+H19+H18+H13+H9</f>
        <v>38900000</v>
      </c>
      <c r="I20" s="19"/>
      <c r="J20" s="59">
        <f>+J19+J18+J13+J9</f>
        <v>3633333.333333333</v>
      </c>
    </row>
    <row r="21" spans="2:10" x14ac:dyDescent="0.25">
      <c r="B21" t="s">
        <v>12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27"/>
  <sheetViews>
    <sheetView zoomScale="80" zoomScaleNormal="80" workbookViewId="0">
      <selection activeCell="A3" sqref="A3"/>
    </sheetView>
  </sheetViews>
  <sheetFormatPr defaultRowHeight="15" x14ac:dyDescent="0.25"/>
  <cols>
    <col min="2" max="2" width="5.140625" customWidth="1"/>
    <col min="3" max="3" width="3.85546875" customWidth="1"/>
    <col min="4" max="4" width="18.42578125" customWidth="1"/>
    <col min="5" max="5" width="5.42578125" customWidth="1"/>
    <col min="6" max="6" width="9.42578125" customWidth="1"/>
    <col min="7" max="7" width="12" bestFit="1" customWidth="1"/>
    <col min="8" max="8" width="11.7109375" customWidth="1"/>
    <col min="9" max="9" width="13.7109375" customWidth="1"/>
    <col min="10" max="10" width="12.85546875" customWidth="1"/>
  </cols>
  <sheetData>
    <row r="2" spans="2:10" x14ac:dyDescent="0.25">
      <c r="B2" t="s">
        <v>84</v>
      </c>
    </row>
    <row r="3" spans="2:10" x14ac:dyDescent="0.25">
      <c r="B3" s="3" t="s">
        <v>71</v>
      </c>
      <c r="C3" s="3"/>
      <c r="D3" s="3"/>
      <c r="E3" s="30" t="s">
        <v>12</v>
      </c>
    </row>
    <row r="4" spans="2:10" x14ac:dyDescent="0.25">
      <c r="B4" s="3" t="s">
        <v>1</v>
      </c>
      <c r="C4" s="3"/>
      <c r="D4" s="3"/>
      <c r="E4" s="35" t="s">
        <v>11</v>
      </c>
      <c r="F4" t="s">
        <v>174</v>
      </c>
    </row>
    <row r="5" spans="2:10" x14ac:dyDescent="0.25">
      <c r="B5" s="3" t="s">
        <v>2</v>
      </c>
      <c r="C5" s="3"/>
      <c r="D5" s="3"/>
      <c r="E5" s="35" t="s">
        <v>11</v>
      </c>
      <c r="F5" t="s">
        <v>199</v>
      </c>
    </row>
    <row r="7" spans="2:10" x14ac:dyDescent="0.25">
      <c r="B7" s="36" t="s">
        <v>20</v>
      </c>
      <c r="C7" s="61"/>
      <c r="D7" s="37" t="s">
        <v>21</v>
      </c>
      <c r="E7" s="44"/>
      <c r="F7" s="38" t="s">
        <v>63</v>
      </c>
      <c r="G7" s="38" t="s">
        <v>23</v>
      </c>
      <c r="H7" s="38" t="s">
        <v>64</v>
      </c>
      <c r="I7" s="38" t="s">
        <v>72</v>
      </c>
      <c r="J7" s="38" t="s">
        <v>72</v>
      </c>
    </row>
    <row r="8" spans="2:10" x14ac:dyDescent="0.25">
      <c r="B8" s="112"/>
      <c r="C8" s="52"/>
      <c r="D8" s="3"/>
      <c r="E8" s="113"/>
      <c r="F8" s="112"/>
      <c r="G8" s="112"/>
      <c r="H8" s="114" t="s">
        <v>23</v>
      </c>
      <c r="I8" s="114" t="s">
        <v>73</v>
      </c>
      <c r="J8" s="114" t="s">
        <v>74</v>
      </c>
    </row>
    <row r="9" spans="2:10" x14ac:dyDescent="0.25">
      <c r="B9" s="40"/>
      <c r="C9" s="40"/>
      <c r="D9" s="41"/>
      <c r="E9" s="45"/>
      <c r="F9" s="39"/>
      <c r="G9" s="39"/>
      <c r="H9" s="42"/>
      <c r="I9" s="43" t="s">
        <v>205</v>
      </c>
      <c r="J9" s="42"/>
    </row>
    <row r="10" spans="2:10" x14ac:dyDescent="0.25">
      <c r="B10" s="32" t="s">
        <v>42</v>
      </c>
      <c r="C10" s="22" t="s">
        <v>149</v>
      </c>
      <c r="D10" s="23"/>
      <c r="E10" s="24"/>
      <c r="F10" s="19"/>
      <c r="G10" s="10"/>
      <c r="H10" s="19"/>
      <c r="I10" s="19"/>
      <c r="J10" s="19"/>
    </row>
    <row r="11" spans="2:10" x14ac:dyDescent="0.25">
      <c r="B11" s="33" t="s">
        <v>12</v>
      </c>
      <c r="C11" s="64" t="s">
        <v>140</v>
      </c>
      <c r="D11" t="s">
        <v>204</v>
      </c>
      <c r="E11" s="18"/>
      <c r="F11" s="58">
        <v>10</v>
      </c>
      <c r="G11" s="10" t="s">
        <v>173</v>
      </c>
      <c r="H11" s="58">
        <v>2500000</v>
      </c>
      <c r="I11" s="59">
        <f>+F11*H11</f>
        <v>25000000</v>
      </c>
      <c r="J11" s="59">
        <f>+I11</f>
        <v>25000000</v>
      </c>
    </row>
    <row r="12" spans="2:10" x14ac:dyDescent="0.25">
      <c r="B12" s="32" t="s">
        <v>12</v>
      </c>
      <c r="C12" s="63" t="s">
        <v>140</v>
      </c>
      <c r="D12" s="34" t="s">
        <v>187</v>
      </c>
      <c r="E12" s="24"/>
      <c r="F12" s="58">
        <f>+'Tabel Lampiran 1'!E8</f>
        <v>10</v>
      </c>
      <c r="G12" s="10" t="s">
        <v>186</v>
      </c>
      <c r="H12" s="58">
        <v>75000</v>
      </c>
      <c r="I12" s="59">
        <f>+F12*H12</f>
        <v>750000</v>
      </c>
      <c r="J12" s="59">
        <f>+I12</f>
        <v>750000</v>
      </c>
    </row>
    <row r="13" spans="2:10" x14ac:dyDescent="0.25">
      <c r="B13" s="26" t="s">
        <v>12</v>
      </c>
      <c r="C13" s="64" t="s">
        <v>140</v>
      </c>
      <c r="D13" s="34" t="s">
        <v>188</v>
      </c>
      <c r="E13" s="24"/>
      <c r="F13" s="58">
        <f>+'Tabel Lampiran 1'!E9</f>
        <v>2</v>
      </c>
      <c r="G13" s="10" t="s">
        <v>186</v>
      </c>
      <c r="H13" s="58">
        <v>250000</v>
      </c>
      <c r="I13" s="59">
        <f>+F13*H13</f>
        <v>500000</v>
      </c>
      <c r="J13" s="59">
        <f>+I13</f>
        <v>500000</v>
      </c>
    </row>
    <row r="14" spans="2:10" x14ac:dyDescent="0.25">
      <c r="B14" s="33"/>
      <c r="C14" s="33"/>
      <c r="D14" s="34" t="s">
        <v>75</v>
      </c>
      <c r="E14" s="31"/>
      <c r="F14" s="65"/>
      <c r="G14" s="10"/>
      <c r="H14" s="19"/>
      <c r="I14" s="59">
        <f>SUM(I11:I13)</f>
        <v>26250000</v>
      </c>
      <c r="J14" s="59">
        <f>SUM(J11:J13)</f>
        <v>26250000</v>
      </c>
    </row>
    <row r="15" spans="2:10" x14ac:dyDescent="0.25">
      <c r="B15" s="32" t="s">
        <v>45</v>
      </c>
      <c r="C15" s="22" t="s">
        <v>76</v>
      </c>
      <c r="E15" s="24"/>
      <c r="F15" s="19"/>
      <c r="G15" s="19"/>
      <c r="H15" s="19"/>
      <c r="I15" s="19"/>
      <c r="J15" s="19"/>
    </row>
    <row r="16" spans="2:10" x14ac:dyDescent="0.25">
      <c r="B16" s="22"/>
      <c r="C16" s="64" t="s">
        <v>140</v>
      </c>
      <c r="D16" s="67" t="s">
        <v>184</v>
      </c>
      <c r="E16" s="7"/>
      <c r="F16" s="72">
        <f>+'Tabel Lampiran 2 '!J11</f>
        <v>10</v>
      </c>
      <c r="G16" s="10" t="s">
        <v>77</v>
      </c>
      <c r="H16" s="58">
        <v>100000</v>
      </c>
      <c r="I16" s="59">
        <f t="shared" ref="I16:I22" si="0">+F16*H16</f>
        <v>1000000</v>
      </c>
      <c r="J16" s="59">
        <f>+I16</f>
        <v>1000000</v>
      </c>
    </row>
    <row r="17" spans="2:10" x14ac:dyDescent="0.25">
      <c r="B17" s="22"/>
      <c r="C17" s="64" t="s">
        <v>140</v>
      </c>
      <c r="D17" s="69" t="s">
        <v>178</v>
      </c>
      <c r="E17" s="8"/>
      <c r="F17" s="71">
        <v>10</v>
      </c>
      <c r="G17" s="10" t="s">
        <v>77</v>
      </c>
      <c r="H17" s="58">
        <f t="shared" ref="H17:H19" si="1">+H16</f>
        <v>100000</v>
      </c>
      <c r="I17" s="59">
        <f t="shared" si="0"/>
        <v>1000000</v>
      </c>
      <c r="J17" s="59">
        <f>+I17</f>
        <v>1000000</v>
      </c>
    </row>
    <row r="18" spans="2:10" x14ac:dyDescent="0.25">
      <c r="B18" s="22"/>
      <c r="C18" s="64" t="s">
        <v>140</v>
      </c>
      <c r="D18" s="67" t="s">
        <v>170</v>
      </c>
      <c r="E18" s="9"/>
      <c r="F18" s="72">
        <f>+'Tabel Lampiran 2 '!J9</f>
        <v>2</v>
      </c>
      <c r="G18" s="10" t="s">
        <v>77</v>
      </c>
      <c r="H18" s="58">
        <f t="shared" si="1"/>
        <v>100000</v>
      </c>
      <c r="I18" s="59">
        <f t="shared" si="0"/>
        <v>200000</v>
      </c>
      <c r="J18" s="59">
        <f>+I18</f>
        <v>200000</v>
      </c>
    </row>
    <row r="19" spans="2:10" x14ac:dyDescent="0.25">
      <c r="B19" s="22"/>
      <c r="C19" s="64" t="s">
        <v>140</v>
      </c>
      <c r="D19" s="67" t="s">
        <v>177</v>
      </c>
      <c r="E19" s="8"/>
      <c r="F19" s="71">
        <f>+'Tabel Lampiran 2 '!J10</f>
        <v>2</v>
      </c>
      <c r="G19" s="10" t="s">
        <v>77</v>
      </c>
      <c r="H19" s="58">
        <f t="shared" si="1"/>
        <v>100000</v>
      </c>
      <c r="I19" s="59">
        <f t="shared" si="0"/>
        <v>200000</v>
      </c>
      <c r="J19" s="59">
        <f>+I19</f>
        <v>200000</v>
      </c>
    </row>
    <row r="20" spans="2:10" x14ac:dyDescent="0.25">
      <c r="B20" s="19"/>
      <c r="C20" s="64"/>
      <c r="D20" s="82" t="s">
        <v>78</v>
      </c>
      <c r="E20" s="132"/>
      <c r="F20" s="78"/>
      <c r="G20" s="10"/>
      <c r="H20" s="58"/>
      <c r="I20" s="59">
        <f>SUM(I16:I19)</f>
        <v>2400000</v>
      </c>
      <c r="J20" s="59">
        <f>SUM(J16:J19)</f>
        <v>2400000</v>
      </c>
    </row>
    <row r="21" spans="2:10" x14ac:dyDescent="0.25">
      <c r="B21" s="17" t="s">
        <v>46</v>
      </c>
      <c r="C21" s="131" t="s">
        <v>207</v>
      </c>
      <c r="D21" s="82"/>
      <c r="E21" s="9"/>
      <c r="F21" s="130"/>
      <c r="G21" s="10"/>
      <c r="H21" s="58"/>
      <c r="I21" s="59"/>
      <c r="J21" s="59"/>
    </row>
    <row r="22" spans="2:10" x14ac:dyDescent="0.25">
      <c r="B22" s="22" t="s">
        <v>12</v>
      </c>
      <c r="C22" s="64" t="s">
        <v>140</v>
      </c>
      <c r="D22" s="34" t="s">
        <v>79</v>
      </c>
      <c r="E22" s="24"/>
      <c r="F22" s="13">
        <v>1</v>
      </c>
      <c r="G22" s="10" t="s">
        <v>66</v>
      </c>
      <c r="H22" s="58">
        <v>100000</v>
      </c>
      <c r="I22" s="59">
        <f t="shared" si="0"/>
        <v>100000</v>
      </c>
      <c r="J22" s="59">
        <f>+I22</f>
        <v>100000</v>
      </c>
    </row>
    <row r="23" spans="2:10" x14ac:dyDescent="0.25">
      <c r="B23" s="32" t="s">
        <v>12</v>
      </c>
      <c r="C23" s="64" t="s">
        <v>140</v>
      </c>
      <c r="D23" s="23" t="s">
        <v>218</v>
      </c>
      <c r="E23" s="24"/>
      <c r="F23" s="11">
        <v>24</v>
      </c>
      <c r="G23" s="10" t="s">
        <v>150</v>
      </c>
      <c r="H23" s="58">
        <v>150000</v>
      </c>
      <c r="I23" s="59">
        <f t="shared" ref="I23" si="2">+F23*H23</f>
        <v>3600000</v>
      </c>
      <c r="J23" s="59">
        <f>+I23</f>
        <v>3600000</v>
      </c>
    </row>
    <row r="24" spans="2:10" x14ac:dyDescent="0.25">
      <c r="B24" s="22" t="s">
        <v>208</v>
      </c>
      <c r="C24" s="64" t="s">
        <v>140</v>
      </c>
      <c r="D24" s="34" t="s">
        <v>85</v>
      </c>
      <c r="E24" s="24"/>
      <c r="F24" s="11">
        <v>1</v>
      </c>
      <c r="G24" s="10" t="s">
        <v>66</v>
      </c>
      <c r="H24" s="58">
        <v>250000</v>
      </c>
      <c r="I24" s="59">
        <f t="shared" ref="I24" si="3">+F24*H24</f>
        <v>250000</v>
      </c>
      <c r="J24" s="59">
        <f>+I24</f>
        <v>250000</v>
      </c>
    </row>
    <row r="25" spans="2:10" x14ac:dyDescent="0.25">
      <c r="B25" s="32"/>
      <c r="C25" s="22"/>
      <c r="D25" s="23" t="s">
        <v>209</v>
      </c>
      <c r="E25" s="24"/>
      <c r="F25" s="11"/>
      <c r="G25" s="10"/>
      <c r="H25" s="19"/>
      <c r="I25" s="58">
        <f>SUM(I22:I24)</f>
        <v>3950000</v>
      </c>
      <c r="J25" s="58">
        <f>SUM(J22:J24)</f>
        <v>3950000</v>
      </c>
    </row>
    <row r="26" spans="2:10" x14ac:dyDescent="0.25">
      <c r="B26" s="32"/>
      <c r="C26" s="32"/>
      <c r="D26" s="23" t="s">
        <v>210</v>
      </c>
      <c r="E26" s="24"/>
      <c r="F26" s="19"/>
      <c r="G26" s="10"/>
      <c r="H26" s="19"/>
      <c r="I26" s="59">
        <f>+I25+I20+I14</f>
        <v>32600000</v>
      </c>
      <c r="J26" s="59">
        <f>+J25+J20+J14</f>
        <v>32600000</v>
      </c>
    </row>
    <row r="27" spans="2:10" x14ac:dyDescent="0.25">
      <c r="C27" t="s">
        <v>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6"/>
  <sheetViews>
    <sheetView zoomScale="80" zoomScaleNormal="80" workbookViewId="0">
      <selection activeCell="A3" sqref="A3"/>
    </sheetView>
  </sheetViews>
  <sheetFormatPr defaultRowHeight="15" x14ac:dyDescent="0.25"/>
  <cols>
    <col min="1" max="1" width="4.28515625" customWidth="1"/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3.42578125" customWidth="1"/>
    <col min="9" max="9" width="16.28515625" bestFit="1" customWidth="1"/>
    <col min="11" max="11" width="14.28515625" bestFit="1" customWidth="1"/>
  </cols>
  <sheetData>
    <row r="2" spans="2:17" x14ac:dyDescent="0.25">
      <c r="B2" t="s">
        <v>90</v>
      </c>
    </row>
    <row r="3" spans="2:17" x14ac:dyDescent="0.25">
      <c r="B3" s="3" t="s">
        <v>91</v>
      </c>
      <c r="C3" s="3"/>
      <c r="D3" s="3"/>
      <c r="E3" s="30" t="s">
        <v>12</v>
      </c>
    </row>
    <row r="4" spans="2:17" x14ac:dyDescent="0.25">
      <c r="B4" s="3" t="s">
        <v>1</v>
      </c>
      <c r="C4" s="3"/>
      <c r="D4" s="3"/>
      <c r="E4" s="30" t="s">
        <v>11</v>
      </c>
      <c r="F4" t="s">
        <v>174</v>
      </c>
    </row>
    <row r="5" spans="2:17" x14ac:dyDescent="0.25">
      <c r="B5" s="3" t="s">
        <v>2</v>
      </c>
      <c r="C5" s="3"/>
      <c r="D5" s="3"/>
      <c r="E5" s="30" t="s">
        <v>11</v>
      </c>
      <c r="F5" t="s">
        <v>199</v>
      </c>
    </row>
    <row r="6" spans="2:17" x14ac:dyDescent="0.25">
      <c r="B6" s="29" t="s">
        <v>92</v>
      </c>
      <c r="C6" s="145" t="s">
        <v>21</v>
      </c>
      <c r="D6" s="146"/>
      <c r="E6" s="149"/>
      <c r="F6" s="29" t="s">
        <v>63</v>
      </c>
      <c r="G6" s="29" t="s">
        <v>23</v>
      </c>
      <c r="H6" s="29" t="s">
        <v>93</v>
      </c>
      <c r="I6" s="28" t="s">
        <v>219</v>
      </c>
    </row>
    <row r="7" spans="2:17" x14ac:dyDescent="0.25">
      <c r="B7" s="49" t="s">
        <v>24</v>
      </c>
      <c r="C7" s="53" t="s">
        <v>94</v>
      </c>
      <c r="D7" s="54"/>
      <c r="E7" s="16"/>
      <c r="G7" s="11"/>
      <c r="I7" s="11"/>
      <c r="Q7" t="s">
        <v>12</v>
      </c>
    </row>
    <row r="8" spans="2:17" x14ac:dyDescent="0.25">
      <c r="B8" s="19"/>
      <c r="C8" s="22" t="s">
        <v>42</v>
      </c>
      <c r="D8" s="23" t="s">
        <v>151</v>
      </c>
      <c r="E8" s="24"/>
      <c r="F8" s="23">
        <v>1</v>
      </c>
      <c r="G8" s="10" t="s">
        <v>96</v>
      </c>
      <c r="H8" s="83">
        <f>+'Tabel Lampiran 5'!I14</f>
        <v>26250000</v>
      </c>
      <c r="I8" s="59">
        <f>+H8</f>
        <v>26250000</v>
      </c>
    </row>
    <row r="9" spans="2:17" x14ac:dyDescent="0.25">
      <c r="B9" s="12" t="s">
        <v>12</v>
      </c>
      <c r="C9" s="17" t="s">
        <v>45</v>
      </c>
      <c r="D9" t="s">
        <v>76</v>
      </c>
      <c r="E9" s="18"/>
      <c r="F9" s="22">
        <v>1</v>
      </c>
      <c r="G9" s="10" t="s">
        <v>96</v>
      </c>
      <c r="H9" s="84">
        <f>+'Tabel Lampiran 5'!I20</f>
        <v>2400000</v>
      </c>
      <c r="I9" s="85">
        <f>+H9</f>
        <v>2400000</v>
      </c>
    </row>
    <row r="10" spans="2:17" x14ac:dyDescent="0.25">
      <c r="B10" s="19"/>
      <c r="C10" s="22" t="s">
        <v>46</v>
      </c>
      <c r="D10" s="23" t="s">
        <v>206</v>
      </c>
      <c r="E10" s="24"/>
      <c r="F10" s="22">
        <v>1</v>
      </c>
      <c r="G10" s="10" t="s">
        <v>96</v>
      </c>
      <c r="H10" s="83">
        <f>+'Tabel Lampiran 5'!I25</f>
        <v>3950000</v>
      </c>
      <c r="I10" s="59">
        <f>+H10</f>
        <v>3950000</v>
      </c>
    </row>
    <row r="11" spans="2:17" x14ac:dyDescent="0.25">
      <c r="B11" s="12"/>
      <c r="C11" s="17" t="s">
        <v>97</v>
      </c>
      <c r="E11" s="18"/>
      <c r="G11" s="12"/>
      <c r="H11" s="84" t="s">
        <v>12</v>
      </c>
      <c r="I11" s="85">
        <f>SUM(I8:I10)</f>
        <v>32600000</v>
      </c>
      <c r="K11" s="84" t="s">
        <v>12</v>
      </c>
    </row>
    <row r="12" spans="2:17" x14ac:dyDescent="0.25">
      <c r="B12" s="51" t="s">
        <v>27</v>
      </c>
      <c r="C12" s="46" t="s">
        <v>98</v>
      </c>
      <c r="D12" s="47"/>
      <c r="E12" s="24"/>
      <c r="F12" s="23"/>
      <c r="G12" s="19"/>
      <c r="H12" s="23"/>
      <c r="I12" s="19"/>
    </row>
    <row r="13" spans="2:17" x14ac:dyDescent="0.25">
      <c r="B13" s="12"/>
      <c r="C13" s="17" t="s">
        <v>42</v>
      </c>
      <c r="D13" t="s">
        <v>98</v>
      </c>
      <c r="E13" s="18"/>
      <c r="F13">
        <v>1</v>
      </c>
      <c r="G13" s="21" t="s">
        <v>66</v>
      </c>
      <c r="H13" s="84">
        <f>+'Tabel Lampiran 4'!H20</f>
        <v>38900000</v>
      </c>
      <c r="I13" s="85">
        <f>+H13</f>
        <v>38900000</v>
      </c>
    </row>
    <row r="14" spans="2:17" x14ac:dyDescent="0.25">
      <c r="B14" s="19"/>
      <c r="C14" s="22" t="s">
        <v>152</v>
      </c>
      <c r="D14" s="23"/>
      <c r="E14" s="24"/>
      <c r="F14" s="23"/>
      <c r="G14" s="19"/>
      <c r="H14" s="83" t="s">
        <v>12</v>
      </c>
      <c r="I14" s="59">
        <f>+I13</f>
        <v>38900000</v>
      </c>
    </row>
    <row r="15" spans="2:17" x14ac:dyDescent="0.25">
      <c r="B15" s="19"/>
      <c r="C15" s="22" t="s">
        <v>99</v>
      </c>
      <c r="D15" s="23"/>
      <c r="E15" s="24"/>
      <c r="F15" s="23"/>
      <c r="G15" s="19"/>
      <c r="H15" s="83"/>
      <c r="I15" s="59">
        <f>+I14+I11</f>
        <v>71500000</v>
      </c>
      <c r="K15" s="84"/>
    </row>
    <row r="16" spans="2:17" x14ac:dyDescent="0.25">
      <c r="B16" s="12"/>
      <c r="C16" s="52" t="s">
        <v>103</v>
      </c>
      <c r="D16" s="3"/>
      <c r="E16" s="18"/>
      <c r="G16" s="12"/>
      <c r="I16" s="12"/>
      <c r="K16" s="84"/>
    </row>
    <row r="17" spans="2:12" x14ac:dyDescent="0.25">
      <c r="B17" s="10" t="s">
        <v>24</v>
      </c>
      <c r="C17" s="22" t="s">
        <v>94</v>
      </c>
      <c r="D17" s="23"/>
      <c r="E17" s="24"/>
      <c r="F17" s="23"/>
      <c r="G17" s="19"/>
      <c r="H17" s="23"/>
      <c r="I17" s="19"/>
    </row>
    <row r="18" spans="2:12" x14ac:dyDescent="0.25">
      <c r="B18" s="21"/>
      <c r="C18" s="17" t="s">
        <v>42</v>
      </c>
      <c r="D18" t="s">
        <v>54</v>
      </c>
      <c r="E18" s="18"/>
      <c r="F18">
        <f>+'Tabel Lampiran 3'!F27</f>
        <v>70</v>
      </c>
      <c r="G18" s="60" t="s">
        <v>153</v>
      </c>
      <c r="H18" s="84">
        <f>+I11</f>
        <v>32600000</v>
      </c>
      <c r="I18" s="59">
        <f>+F18/100*H18</f>
        <v>22820000</v>
      </c>
      <c r="L18" s="84" t="s">
        <v>12</v>
      </c>
    </row>
    <row r="19" spans="2:12" x14ac:dyDescent="0.25">
      <c r="B19" s="10"/>
      <c r="C19" s="22" t="s">
        <v>45</v>
      </c>
      <c r="D19" s="23" t="s">
        <v>100</v>
      </c>
      <c r="E19" s="24"/>
      <c r="F19" s="23">
        <f>+'Tabel Lampiran 3'!F28</f>
        <v>30</v>
      </c>
      <c r="G19" s="60" t="s">
        <v>153</v>
      </c>
      <c r="H19" s="83">
        <f>+I11</f>
        <v>32600000</v>
      </c>
      <c r="I19" s="59">
        <f>+F19/100*H19</f>
        <v>9780000</v>
      </c>
    </row>
    <row r="20" spans="2:12" x14ac:dyDescent="0.25">
      <c r="B20" s="21"/>
      <c r="C20" s="17" t="s">
        <v>101</v>
      </c>
      <c r="E20" s="18"/>
      <c r="G20" s="12"/>
      <c r="H20" s="84"/>
      <c r="I20" s="85">
        <f>SUM(I18:I19)</f>
        <v>32600000</v>
      </c>
    </row>
    <row r="21" spans="2:12" x14ac:dyDescent="0.25">
      <c r="B21" s="51" t="s">
        <v>27</v>
      </c>
      <c r="C21" s="22" t="s">
        <v>98</v>
      </c>
      <c r="D21" s="23"/>
      <c r="E21" s="24"/>
      <c r="F21" s="23"/>
      <c r="G21" s="19"/>
      <c r="H21" s="23"/>
      <c r="I21" s="19"/>
    </row>
    <row r="22" spans="2:12" x14ac:dyDescent="0.25">
      <c r="B22" s="12"/>
      <c r="C22" s="17" t="s">
        <v>42</v>
      </c>
      <c r="D22" t="s">
        <v>54</v>
      </c>
      <c r="E22" s="18"/>
      <c r="F22">
        <f>+'Tabel Lampiran 3'!F30</f>
        <v>70</v>
      </c>
      <c r="G22" s="60" t="s">
        <v>153</v>
      </c>
      <c r="H22" s="84">
        <f>+H13</f>
        <v>38900000</v>
      </c>
      <c r="I22" s="59">
        <f t="shared" ref="I22:I23" si="0">+F22/100*H22</f>
        <v>27230000</v>
      </c>
    </row>
    <row r="23" spans="2:12" x14ac:dyDescent="0.25">
      <c r="B23" s="19"/>
      <c r="C23" s="22" t="s">
        <v>45</v>
      </c>
      <c r="D23" s="23" t="s">
        <v>100</v>
      </c>
      <c r="E23" s="24"/>
      <c r="F23" s="23">
        <f>+'Tabel Lampiran 3'!F31</f>
        <v>30</v>
      </c>
      <c r="G23" s="60" t="s">
        <v>153</v>
      </c>
      <c r="H23" s="83">
        <f>+H13</f>
        <v>38900000</v>
      </c>
      <c r="I23" s="59">
        <f t="shared" si="0"/>
        <v>11670000</v>
      </c>
    </row>
    <row r="24" spans="2:12" x14ac:dyDescent="0.25">
      <c r="B24" s="19"/>
      <c r="C24" s="22" t="s">
        <v>102</v>
      </c>
      <c r="D24" s="23"/>
      <c r="E24" s="24"/>
      <c r="F24" s="23"/>
      <c r="G24" s="19"/>
      <c r="H24" s="83" t="s">
        <v>12</v>
      </c>
      <c r="I24" s="59">
        <f>SUM(I22:I23)</f>
        <v>38900000</v>
      </c>
    </row>
    <row r="26" spans="2:12" x14ac:dyDescent="0.25">
      <c r="K26" s="84" t="s">
        <v>12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7"/>
  <sheetViews>
    <sheetView topLeftCell="A19" workbookViewId="0">
      <selection activeCell="A20" sqref="A20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9" width="14.85546875" customWidth="1"/>
    <col min="10" max="10" width="14.28515625" customWidth="1"/>
    <col min="11" max="11" width="15.5703125" customWidth="1"/>
  </cols>
  <sheetData>
    <row r="2" spans="2:16" x14ac:dyDescent="0.25">
      <c r="B2" s="117" t="s">
        <v>104</v>
      </c>
      <c r="C2" s="117"/>
      <c r="D2" s="117"/>
    </row>
    <row r="3" spans="2:16" x14ac:dyDescent="0.25">
      <c r="B3" s="3" t="s">
        <v>105</v>
      </c>
      <c r="C3" s="3"/>
      <c r="D3" s="3"/>
      <c r="E3" s="30" t="s">
        <v>12</v>
      </c>
    </row>
    <row r="4" spans="2:16" x14ac:dyDescent="0.25">
      <c r="B4" s="3" t="s">
        <v>1</v>
      </c>
      <c r="C4" s="3"/>
      <c r="D4" s="3"/>
      <c r="E4" s="30" t="s">
        <v>11</v>
      </c>
      <c r="F4" t="s">
        <v>174</v>
      </c>
    </row>
    <row r="5" spans="2:16" x14ac:dyDescent="0.25">
      <c r="B5" s="3" t="s">
        <v>2</v>
      </c>
      <c r="C5" s="3"/>
      <c r="D5" s="3"/>
      <c r="E5" s="30" t="s">
        <v>11</v>
      </c>
      <c r="F5" t="s">
        <v>199</v>
      </c>
    </row>
    <row r="7" spans="2:16" x14ac:dyDescent="0.25">
      <c r="B7" s="41" t="s">
        <v>162</v>
      </c>
      <c r="C7" s="87"/>
      <c r="D7" s="87"/>
      <c r="E7" s="87"/>
      <c r="F7" s="87"/>
      <c r="G7" s="87"/>
      <c r="H7" s="87"/>
      <c r="I7" s="87"/>
      <c r="J7" s="87"/>
    </row>
    <row r="8" spans="2:16" x14ac:dyDescent="0.25">
      <c r="B8" s="38" t="s">
        <v>92</v>
      </c>
      <c r="C8" s="147" t="s">
        <v>21</v>
      </c>
      <c r="D8" s="148"/>
      <c r="E8" s="150"/>
      <c r="F8" s="37" t="s">
        <v>189</v>
      </c>
      <c r="G8" s="38" t="s">
        <v>190</v>
      </c>
      <c r="H8" s="37" t="s">
        <v>191</v>
      </c>
      <c r="I8" s="38" t="s">
        <v>192</v>
      </c>
      <c r="J8" s="38" t="s">
        <v>193</v>
      </c>
    </row>
    <row r="9" spans="2:16" x14ac:dyDescent="0.25">
      <c r="B9" s="42"/>
      <c r="C9" s="115"/>
      <c r="D9" s="115"/>
      <c r="E9" s="116"/>
      <c r="F9" s="115" t="s">
        <v>194</v>
      </c>
      <c r="G9" s="42" t="s">
        <v>195</v>
      </c>
      <c r="H9" s="115" t="s">
        <v>196</v>
      </c>
      <c r="I9" s="42" t="s">
        <v>197</v>
      </c>
      <c r="J9" s="42" t="s">
        <v>198</v>
      </c>
    </row>
    <row r="10" spans="2:16" x14ac:dyDescent="0.25">
      <c r="B10" s="51" t="s">
        <v>24</v>
      </c>
      <c r="C10" s="23" t="s">
        <v>160</v>
      </c>
      <c r="D10" s="23"/>
      <c r="E10" s="24"/>
      <c r="F10" s="59">
        <f>+'Tabel Lampiran 6'!I18</f>
        <v>22820000</v>
      </c>
      <c r="G10" s="59">
        <f>+F10-G11</f>
        <v>18256000</v>
      </c>
      <c r="H10" s="59">
        <f>+G10-H11</f>
        <v>13692000</v>
      </c>
      <c r="I10" s="59">
        <f>+H10-I11</f>
        <v>9128000</v>
      </c>
      <c r="J10" s="59">
        <f>+I10-J11</f>
        <v>4564000</v>
      </c>
      <c r="P10" t="s">
        <v>12</v>
      </c>
    </row>
    <row r="11" spans="2:16" x14ac:dyDescent="0.25">
      <c r="B11" s="19"/>
      <c r="C11" s="23" t="s">
        <v>42</v>
      </c>
      <c r="D11" s="23" t="s">
        <v>155</v>
      </c>
      <c r="E11" s="24"/>
      <c r="F11" s="58">
        <f>+F10/'Tabel Lampiran 3'!F32</f>
        <v>4564000</v>
      </c>
      <c r="G11" s="58">
        <f>+F11</f>
        <v>4564000</v>
      </c>
      <c r="H11" s="58">
        <f>+G11</f>
        <v>4564000</v>
      </c>
      <c r="I11" s="58">
        <f>+H11</f>
        <v>4564000</v>
      </c>
      <c r="J11" s="58">
        <f>+I11</f>
        <v>4564000</v>
      </c>
    </row>
    <row r="12" spans="2:16" x14ac:dyDescent="0.25">
      <c r="B12" s="19"/>
      <c r="C12" s="23" t="s">
        <v>45</v>
      </c>
      <c r="D12" s="23" t="s">
        <v>156</v>
      </c>
      <c r="E12" s="24"/>
      <c r="F12" s="58">
        <f>+'Tabel Lampiran 3'!F24/100*'Tabel Lampiran 7'!F10</f>
        <v>2282000</v>
      </c>
      <c r="G12" s="58">
        <f>+'Tabel Lampiran 3'!F24/100*'Tabel Lampiran 7'!G10</f>
        <v>1825600</v>
      </c>
      <c r="H12" s="58">
        <f>+'Tabel Lampiran 3'!F24/100*'Tabel Lampiran 7'!H10</f>
        <v>1369200</v>
      </c>
      <c r="I12" s="58">
        <f>+'Tabel Lampiran 3'!F25/100*'Tabel Lampiran 7'!I10</f>
        <v>912800</v>
      </c>
      <c r="J12" s="58">
        <f>+'Tabel Lampiran 3'!F24/100*'Tabel Lampiran 7'!J10</f>
        <v>456400</v>
      </c>
      <c r="L12">
        <v>10</v>
      </c>
    </row>
    <row r="13" spans="2:16" x14ac:dyDescent="0.25">
      <c r="B13" s="10" t="s">
        <v>27</v>
      </c>
      <c r="C13" s="23" t="s">
        <v>161</v>
      </c>
      <c r="D13" s="23"/>
      <c r="E13" s="24"/>
      <c r="F13" s="58">
        <f>+'Tabel Lampiran 6'!I22</f>
        <v>27230000</v>
      </c>
      <c r="G13" s="58">
        <f>+F13-F14</f>
        <v>21784000</v>
      </c>
      <c r="H13" s="58">
        <f>+G13-G14</f>
        <v>16338000</v>
      </c>
      <c r="I13" s="58">
        <f>+H13-H14</f>
        <v>10892000</v>
      </c>
      <c r="J13" s="58">
        <f>+I13-I14</f>
        <v>5446000</v>
      </c>
    </row>
    <row r="14" spans="2:16" x14ac:dyDescent="0.25">
      <c r="B14" s="19"/>
      <c r="C14" s="23" t="s">
        <v>42</v>
      </c>
      <c r="D14" s="23" t="s">
        <v>155</v>
      </c>
      <c r="E14" s="24"/>
      <c r="F14" s="58">
        <f>+F13/'Tabel Lampiran 3'!F33</f>
        <v>5446000</v>
      </c>
      <c r="G14" s="58">
        <f>+F14</f>
        <v>5446000</v>
      </c>
      <c r="H14" s="58">
        <f>+G14</f>
        <v>5446000</v>
      </c>
      <c r="I14" s="58">
        <f>+H14</f>
        <v>5446000</v>
      </c>
      <c r="J14" s="58">
        <f>+I14</f>
        <v>5446000</v>
      </c>
    </row>
    <row r="15" spans="2:16" x14ac:dyDescent="0.25">
      <c r="B15" s="13"/>
      <c r="C15" s="87" t="s">
        <v>45</v>
      </c>
      <c r="D15" s="87" t="s">
        <v>156</v>
      </c>
      <c r="E15" s="31"/>
      <c r="F15" s="58">
        <f>+'Tabel Lampiran 3'!F24/100*'Tabel Lampiran 7'!F13</f>
        <v>2723000</v>
      </c>
      <c r="G15" s="58">
        <f>+'Tabel Lampiran 3'!F24/100*'Tabel Lampiran 7'!G13</f>
        <v>2178400</v>
      </c>
      <c r="H15" s="58">
        <f>+'Tabel Lampiran 3'!F24/100*'Tabel Lampiran 7'!H13</f>
        <v>1633800</v>
      </c>
      <c r="I15" s="58">
        <f>+'Tabel Lampiran 3'!F24/100*'Tabel Lampiran 7'!I13</f>
        <v>1089200</v>
      </c>
      <c r="J15" s="58">
        <f>+'Tabel Lampiran 3'!F24/100*'Tabel Lampiran 7'!J13</f>
        <v>544600</v>
      </c>
    </row>
    <row r="16" spans="2:16" x14ac:dyDescent="0.25">
      <c r="B16" s="10">
        <v>3</v>
      </c>
      <c r="C16" s="23" t="s">
        <v>157</v>
      </c>
      <c r="D16" s="23"/>
      <c r="E16" s="23"/>
      <c r="F16" s="58"/>
      <c r="G16" s="58"/>
      <c r="H16" s="58"/>
      <c r="I16" s="58"/>
      <c r="J16" s="58"/>
    </row>
    <row r="17" spans="2:10" x14ac:dyDescent="0.25">
      <c r="B17" s="19"/>
      <c r="C17" s="23" t="s">
        <v>42</v>
      </c>
      <c r="D17" s="23" t="s">
        <v>158</v>
      </c>
      <c r="E17" s="23"/>
      <c r="F17" s="58">
        <f t="shared" ref="F17:J18" si="0">+F11+F14</f>
        <v>10010000</v>
      </c>
      <c r="G17" s="58">
        <f t="shared" si="0"/>
        <v>10010000</v>
      </c>
      <c r="H17" s="58">
        <f t="shared" si="0"/>
        <v>10010000</v>
      </c>
      <c r="I17" s="58">
        <f t="shared" si="0"/>
        <v>10010000</v>
      </c>
      <c r="J17" s="58">
        <f t="shared" si="0"/>
        <v>10010000</v>
      </c>
    </row>
    <row r="18" spans="2:10" x14ac:dyDescent="0.25">
      <c r="B18" s="19"/>
      <c r="C18" s="87" t="s">
        <v>45</v>
      </c>
      <c r="D18" s="23" t="s">
        <v>159</v>
      </c>
      <c r="E18" s="23"/>
      <c r="F18" s="58">
        <f t="shared" si="0"/>
        <v>5005000</v>
      </c>
      <c r="G18" s="58">
        <f t="shared" si="0"/>
        <v>4004000</v>
      </c>
      <c r="H18" s="58">
        <f t="shared" si="0"/>
        <v>3003000</v>
      </c>
      <c r="I18" s="58">
        <f t="shared" si="0"/>
        <v>2002000</v>
      </c>
      <c r="J18" s="58">
        <f t="shared" si="0"/>
        <v>1001000</v>
      </c>
    </row>
    <row r="20" spans="2:10" x14ac:dyDescent="0.25">
      <c r="B20" s="3" t="s">
        <v>105</v>
      </c>
      <c r="C20" s="3"/>
      <c r="D20" s="3"/>
    </row>
    <row r="21" spans="2:10" x14ac:dyDescent="0.25">
      <c r="B21" s="38" t="s">
        <v>92</v>
      </c>
      <c r="C21" s="147" t="s">
        <v>21</v>
      </c>
      <c r="D21" s="148"/>
      <c r="E21" s="150"/>
      <c r="F21" s="37" t="s">
        <v>189</v>
      </c>
      <c r="G21" s="38" t="s">
        <v>190</v>
      </c>
      <c r="H21" s="37" t="s">
        <v>191</v>
      </c>
      <c r="I21" s="38" t="s">
        <v>192</v>
      </c>
      <c r="J21" s="38" t="s">
        <v>193</v>
      </c>
    </row>
    <row r="22" spans="2:10" x14ac:dyDescent="0.25">
      <c r="B22" s="42"/>
      <c r="C22" s="115"/>
      <c r="D22" s="115"/>
      <c r="E22" s="116"/>
      <c r="F22" s="115" t="s">
        <v>194</v>
      </c>
      <c r="G22" s="42" t="s">
        <v>195</v>
      </c>
      <c r="H22" s="115" t="s">
        <v>196</v>
      </c>
      <c r="I22" s="42" t="s">
        <v>197</v>
      </c>
      <c r="J22" s="42" t="s">
        <v>198</v>
      </c>
    </row>
    <row r="23" spans="2:10" x14ac:dyDescent="0.25">
      <c r="B23" s="49" t="s">
        <v>24</v>
      </c>
      <c r="C23" s="48" t="s">
        <v>106</v>
      </c>
      <c r="D23" s="15"/>
      <c r="E23" s="16"/>
      <c r="F23" s="15"/>
      <c r="G23" s="11"/>
      <c r="H23" s="15"/>
      <c r="I23" s="11"/>
      <c r="J23" s="11"/>
    </row>
    <row r="24" spans="2:10" x14ac:dyDescent="0.25">
      <c r="B24" s="10"/>
      <c r="C24" s="22" t="s">
        <v>154</v>
      </c>
      <c r="D24" s="23"/>
      <c r="E24" s="24"/>
      <c r="F24" s="83">
        <f>+'Tabel Lampiran 1'!I10:I10</f>
        <v>53000000</v>
      </c>
      <c r="G24" s="59">
        <f>+F24</f>
        <v>53000000</v>
      </c>
      <c r="H24" s="83">
        <f>+G24</f>
        <v>53000000</v>
      </c>
      <c r="I24" s="59">
        <f>+H24</f>
        <v>53000000</v>
      </c>
      <c r="J24" s="59">
        <f>+I24</f>
        <v>53000000</v>
      </c>
    </row>
    <row r="25" spans="2:10" x14ac:dyDescent="0.25">
      <c r="B25" s="50" t="s">
        <v>27</v>
      </c>
      <c r="C25" s="17" t="s">
        <v>107</v>
      </c>
      <c r="E25" s="18"/>
      <c r="G25" s="12"/>
      <c r="I25" s="12"/>
      <c r="J25" s="12"/>
    </row>
    <row r="26" spans="2:10" x14ac:dyDescent="0.25">
      <c r="B26" s="10"/>
      <c r="C26" s="22" t="s">
        <v>95</v>
      </c>
      <c r="D26" s="23" t="s">
        <v>211</v>
      </c>
      <c r="E26" s="24"/>
      <c r="F26" s="83">
        <f>+'Tabel Lampiran 5'!J14</f>
        <v>26250000</v>
      </c>
      <c r="G26" s="59">
        <f t="shared" ref="G26:J29" si="1">+F26</f>
        <v>26250000</v>
      </c>
      <c r="H26" s="83">
        <f t="shared" si="1"/>
        <v>26250000</v>
      </c>
      <c r="I26" s="59">
        <f t="shared" si="1"/>
        <v>26250000</v>
      </c>
      <c r="J26" s="59">
        <f t="shared" si="1"/>
        <v>26250000</v>
      </c>
    </row>
    <row r="27" spans="2:10" x14ac:dyDescent="0.25">
      <c r="B27" s="10"/>
      <c r="C27" s="22" t="s">
        <v>45</v>
      </c>
      <c r="D27" s="23" t="s">
        <v>212</v>
      </c>
      <c r="E27" s="24"/>
      <c r="F27" s="83">
        <f>+'Tabel Lampiran 5'!J20</f>
        <v>2400000</v>
      </c>
      <c r="G27" s="59">
        <f t="shared" si="1"/>
        <v>2400000</v>
      </c>
      <c r="H27" s="83">
        <f t="shared" si="1"/>
        <v>2400000</v>
      </c>
      <c r="I27" s="59">
        <f t="shared" si="1"/>
        <v>2400000</v>
      </c>
      <c r="J27" s="59">
        <f t="shared" si="1"/>
        <v>2400000</v>
      </c>
    </row>
    <row r="28" spans="2:10" x14ac:dyDescent="0.25">
      <c r="B28" s="21"/>
      <c r="C28" s="17" t="s">
        <v>46</v>
      </c>
      <c r="D28" t="s">
        <v>213</v>
      </c>
      <c r="E28" s="18"/>
      <c r="F28" s="84">
        <f>+'Tabel Lampiran 5'!J25</f>
        <v>3950000</v>
      </c>
      <c r="G28" s="85">
        <f>+F28</f>
        <v>3950000</v>
      </c>
      <c r="H28" s="84">
        <f>+G28</f>
        <v>3950000</v>
      </c>
      <c r="I28" s="85">
        <f>+H28</f>
        <v>3950000</v>
      </c>
      <c r="J28" s="85">
        <f>+I28</f>
        <v>3950000</v>
      </c>
    </row>
    <row r="29" spans="2:10" x14ac:dyDescent="0.25">
      <c r="B29" s="10"/>
      <c r="C29" s="22" t="s">
        <v>80</v>
      </c>
      <c r="D29" s="23" t="s">
        <v>86</v>
      </c>
      <c r="E29" s="24"/>
      <c r="F29" s="83">
        <f>+'Tabel Lampiran 4'!J20*2</f>
        <v>7266666.666666666</v>
      </c>
      <c r="G29" s="59">
        <f t="shared" si="1"/>
        <v>7266666.666666666</v>
      </c>
      <c r="H29" s="83">
        <f t="shared" si="1"/>
        <v>7266666.666666666</v>
      </c>
      <c r="I29" s="59">
        <f t="shared" si="1"/>
        <v>7266666.666666666</v>
      </c>
      <c r="J29" s="59">
        <f t="shared" si="1"/>
        <v>7266666.666666666</v>
      </c>
    </row>
    <row r="30" spans="2:10" x14ac:dyDescent="0.25">
      <c r="B30" s="21"/>
      <c r="C30" s="17" t="s">
        <v>81</v>
      </c>
      <c r="D30" t="s">
        <v>108</v>
      </c>
      <c r="E30" s="18"/>
      <c r="F30" s="59">
        <f>+F18</f>
        <v>5005000</v>
      </c>
      <c r="G30" s="59">
        <f>+G18</f>
        <v>4004000</v>
      </c>
      <c r="H30" s="59">
        <f>+H18</f>
        <v>3003000</v>
      </c>
      <c r="I30" s="59">
        <f>+I18</f>
        <v>2002000</v>
      </c>
      <c r="J30" s="59">
        <f>+J18</f>
        <v>1001000</v>
      </c>
    </row>
    <row r="31" spans="2:10" x14ac:dyDescent="0.25">
      <c r="B31" s="10"/>
      <c r="C31" s="22" t="s">
        <v>111</v>
      </c>
      <c r="D31" s="23"/>
      <c r="E31" s="24"/>
      <c r="F31" s="59">
        <f>SUM(F26:F30)</f>
        <v>44871666.666666664</v>
      </c>
      <c r="G31" s="59">
        <f t="shared" ref="G31:J31" si="2">SUM(G26:G30)</f>
        <v>43870666.666666664</v>
      </c>
      <c r="H31" s="59">
        <f t="shared" si="2"/>
        <v>42869666.666666664</v>
      </c>
      <c r="I31" s="59">
        <f t="shared" si="2"/>
        <v>41868666.666666664</v>
      </c>
      <c r="J31" s="59">
        <f t="shared" si="2"/>
        <v>40867666.666666664</v>
      </c>
    </row>
    <row r="32" spans="2:10" x14ac:dyDescent="0.25">
      <c r="B32" s="21" t="s">
        <v>29</v>
      </c>
      <c r="C32" s="17" t="s">
        <v>112</v>
      </c>
      <c r="E32" s="18"/>
      <c r="F32" s="59">
        <f>+F24-F31</f>
        <v>8128333.3333333358</v>
      </c>
      <c r="G32" s="59">
        <f t="shared" ref="G32:J32" si="3">+G24-G31</f>
        <v>9129333.3333333358</v>
      </c>
      <c r="H32" s="59">
        <f t="shared" si="3"/>
        <v>10130333.333333336</v>
      </c>
      <c r="I32" s="59">
        <f t="shared" si="3"/>
        <v>11131333.333333336</v>
      </c>
      <c r="J32" s="59">
        <f t="shared" si="3"/>
        <v>12132333.333333336</v>
      </c>
    </row>
    <row r="33" spans="2:11" x14ac:dyDescent="0.25">
      <c r="B33" s="51" t="s">
        <v>33</v>
      </c>
      <c r="C33" s="22" t="s">
        <v>166</v>
      </c>
      <c r="D33" s="23"/>
      <c r="E33" s="24"/>
      <c r="F33" s="88">
        <f>0.5/100*F24</f>
        <v>265000</v>
      </c>
      <c r="G33" s="88">
        <f t="shared" ref="G33:J33" si="4">0.5/100*G24</f>
        <v>265000</v>
      </c>
      <c r="H33" s="88">
        <f t="shared" si="4"/>
        <v>265000</v>
      </c>
      <c r="I33" s="88">
        <f t="shared" si="4"/>
        <v>265000</v>
      </c>
      <c r="J33" s="88">
        <f t="shared" si="4"/>
        <v>265000</v>
      </c>
    </row>
    <row r="34" spans="2:11" x14ac:dyDescent="0.25">
      <c r="B34" s="10" t="s">
        <v>34</v>
      </c>
      <c r="C34" s="22" t="s">
        <v>113</v>
      </c>
      <c r="D34" s="23"/>
      <c r="E34" s="24"/>
      <c r="F34" s="59">
        <f>+F32-F33</f>
        <v>7863333.3333333358</v>
      </c>
      <c r="G34" s="59">
        <f t="shared" ref="G34:J34" si="5">+G32-G33</f>
        <v>8864333.3333333358</v>
      </c>
      <c r="H34" s="59">
        <f t="shared" si="5"/>
        <v>9865333.3333333358</v>
      </c>
      <c r="I34" s="59">
        <f t="shared" si="5"/>
        <v>10866333.333333336</v>
      </c>
      <c r="J34" s="59">
        <f t="shared" si="5"/>
        <v>11867333.333333336</v>
      </c>
      <c r="K34" s="84" t="s">
        <v>12</v>
      </c>
    </row>
    <row r="35" spans="2:11" x14ac:dyDescent="0.25">
      <c r="B35" s="51" t="s">
        <v>36</v>
      </c>
      <c r="C35" s="22" t="s">
        <v>114</v>
      </c>
      <c r="D35" s="23"/>
      <c r="E35" s="24"/>
      <c r="F35" s="89">
        <f>+F34/F24*100</f>
        <v>14.836477987421388</v>
      </c>
      <c r="G35" s="89">
        <f t="shared" ref="G35:J35" si="6">+G34/G24*100</f>
        <v>16.725157232704408</v>
      </c>
      <c r="H35" s="89">
        <f t="shared" si="6"/>
        <v>18.613836477987427</v>
      </c>
      <c r="I35" s="89">
        <f t="shared" si="6"/>
        <v>20.502515723270445</v>
      </c>
      <c r="J35" s="89">
        <f t="shared" si="6"/>
        <v>22.391194968553464</v>
      </c>
    </row>
    <row r="36" spans="2:11" x14ac:dyDescent="0.25">
      <c r="B36" s="22" t="s">
        <v>12</v>
      </c>
      <c r="C36" s="22" t="s">
        <v>215</v>
      </c>
      <c r="D36" s="23"/>
      <c r="E36" s="24"/>
      <c r="F36" s="59">
        <f>SUM(F34:J34)/5</f>
        <v>9865333.3333333358</v>
      </c>
    </row>
    <row r="37" spans="2:11" x14ac:dyDescent="0.25">
      <c r="B37" s="22"/>
      <c r="C37" s="22" t="s">
        <v>216</v>
      </c>
      <c r="D37" s="23"/>
      <c r="E37" s="24"/>
      <c r="F37" s="134">
        <f>SUM(F35:J35)/5</f>
        <v>18.613836477987427</v>
      </c>
    </row>
  </sheetData>
  <mergeCells count="2">
    <mergeCell ref="C21:E21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abSelected="1" workbookViewId="0">
      <selection activeCell="B37" sqref="B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5.28515625" customWidth="1"/>
    <col min="9" max="9" width="14.7109375" customWidth="1"/>
    <col min="10" max="10" width="15.140625" customWidth="1"/>
    <col min="11" max="11" width="14.5703125" customWidth="1"/>
    <col min="12" max="12" width="13.85546875" customWidth="1"/>
  </cols>
  <sheetData>
    <row r="2" spans="2:12" x14ac:dyDescent="0.25">
      <c r="B2" t="s">
        <v>115</v>
      </c>
    </row>
    <row r="3" spans="2:12" x14ac:dyDescent="0.25">
      <c r="B3" s="3" t="s">
        <v>116</v>
      </c>
      <c r="C3" s="3"/>
      <c r="D3" s="3"/>
      <c r="E3" s="3"/>
      <c r="F3" s="30" t="s">
        <v>12</v>
      </c>
    </row>
    <row r="4" spans="2:12" x14ac:dyDescent="0.25">
      <c r="B4" s="3" t="s">
        <v>1</v>
      </c>
      <c r="C4" s="3"/>
      <c r="D4" s="3"/>
      <c r="E4" s="3"/>
      <c r="F4" s="30" t="s">
        <v>11</v>
      </c>
      <c r="G4" t="s">
        <v>174</v>
      </c>
    </row>
    <row r="5" spans="2:12" x14ac:dyDescent="0.25">
      <c r="B5" s="3" t="s">
        <v>2</v>
      </c>
      <c r="C5" s="3"/>
      <c r="D5" s="3"/>
      <c r="E5" s="3"/>
      <c r="F5" s="30" t="s">
        <v>11</v>
      </c>
      <c r="G5" t="s">
        <v>199</v>
      </c>
    </row>
    <row r="7" spans="2:12" x14ac:dyDescent="0.25">
      <c r="B7" s="3" t="s">
        <v>116</v>
      </c>
      <c r="C7" s="3"/>
      <c r="D7" s="3"/>
      <c r="E7" s="3"/>
    </row>
    <row r="8" spans="2:12" x14ac:dyDescent="0.25">
      <c r="B8" s="38" t="s">
        <v>92</v>
      </c>
      <c r="C8" s="147" t="s">
        <v>21</v>
      </c>
      <c r="D8" s="148"/>
      <c r="E8" s="148"/>
      <c r="F8" s="150"/>
      <c r="G8" s="38" t="s">
        <v>119</v>
      </c>
      <c r="H8" s="37" t="s">
        <v>189</v>
      </c>
      <c r="I8" s="38" t="s">
        <v>190</v>
      </c>
      <c r="J8" s="37" t="s">
        <v>191</v>
      </c>
      <c r="K8" s="38" t="s">
        <v>192</v>
      </c>
      <c r="L8" s="38" t="s">
        <v>193</v>
      </c>
    </row>
    <row r="9" spans="2:12" x14ac:dyDescent="0.25">
      <c r="B9" s="42"/>
      <c r="C9" s="118"/>
      <c r="D9" s="115"/>
      <c r="E9" s="115"/>
      <c r="F9" s="116"/>
      <c r="G9" s="42"/>
      <c r="H9" s="115" t="s">
        <v>194</v>
      </c>
      <c r="I9" s="42" t="s">
        <v>195</v>
      </c>
      <c r="J9" s="115" t="s">
        <v>196</v>
      </c>
      <c r="K9" s="42" t="s">
        <v>197</v>
      </c>
      <c r="L9" s="42" t="s">
        <v>198</v>
      </c>
    </row>
    <row r="10" spans="2:12" x14ac:dyDescent="0.25">
      <c r="B10" s="93" t="s">
        <v>24</v>
      </c>
      <c r="C10" s="53" t="s">
        <v>117</v>
      </c>
      <c r="D10" s="94"/>
      <c r="E10" s="54"/>
      <c r="F10" s="16"/>
      <c r="G10" s="15"/>
      <c r="H10" s="11"/>
      <c r="I10" s="11"/>
      <c r="J10" s="15"/>
      <c r="K10" s="11"/>
      <c r="L10" s="11"/>
    </row>
    <row r="11" spans="2:12" x14ac:dyDescent="0.25">
      <c r="B11" s="49"/>
      <c r="C11" s="22" t="s">
        <v>42</v>
      </c>
      <c r="D11" s="34" t="s">
        <v>118</v>
      </c>
      <c r="E11" s="23"/>
      <c r="F11" s="16"/>
      <c r="G11" s="15">
        <v>0</v>
      </c>
      <c r="H11" s="90">
        <f>+'Tabel Lampiran 7'!F24</f>
        <v>53000000</v>
      </c>
      <c r="I11" s="90">
        <f>+'Tabel Lampiran 7'!G24</f>
        <v>53000000</v>
      </c>
      <c r="J11" s="90">
        <f>+'Tabel Lampiran 7'!H24</f>
        <v>53000000</v>
      </c>
      <c r="K11" s="90">
        <f>+'Tabel Lampiran 7'!I24</f>
        <v>53000000</v>
      </c>
      <c r="L11" s="90">
        <f>+'Tabel Lampiran 7'!J24</f>
        <v>53000000</v>
      </c>
    </row>
    <row r="12" spans="2:12" x14ac:dyDescent="0.25">
      <c r="B12" s="10"/>
      <c r="C12" s="22" t="s">
        <v>45</v>
      </c>
      <c r="D12" s="23" t="s">
        <v>163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7"/>
      <c r="D13" s="2" t="s">
        <v>24</v>
      </c>
      <c r="E13" t="s">
        <v>98</v>
      </c>
      <c r="F13" s="18"/>
      <c r="G13" s="84">
        <f>+'Tabel Lampiran 7'!F13</f>
        <v>27230000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10"/>
      <c r="C14" s="22"/>
      <c r="D14" s="34" t="s">
        <v>27</v>
      </c>
      <c r="E14" s="23" t="s">
        <v>94</v>
      </c>
      <c r="F14" s="24"/>
      <c r="G14" s="83">
        <f>+'Tabel Lampiran 7'!F10</f>
        <v>22820000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7" t="s">
        <v>46</v>
      </c>
      <c r="D15" s="2" t="s">
        <v>164</v>
      </c>
      <c r="F15" s="18"/>
      <c r="H15" s="12"/>
      <c r="I15" s="12"/>
      <c r="K15" s="12"/>
      <c r="L15" s="12"/>
    </row>
    <row r="16" spans="2:12" x14ac:dyDescent="0.25">
      <c r="B16" s="10"/>
      <c r="C16" s="22"/>
      <c r="D16" s="34" t="s">
        <v>24</v>
      </c>
      <c r="E16" s="23" t="s">
        <v>98</v>
      </c>
      <c r="F16" s="24"/>
      <c r="G16" s="83">
        <f>+'Tabel Lampiran 6'!I19</f>
        <v>9780000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10"/>
      <c r="C17" s="22"/>
      <c r="D17" s="34" t="s">
        <v>27</v>
      </c>
      <c r="E17" s="23" t="s">
        <v>94</v>
      </c>
      <c r="F17" s="24"/>
      <c r="G17" s="59">
        <f>+'Tabel Lampiran 6'!I19</f>
        <v>9780000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7" t="s">
        <v>80</v>
      </c>
      <c r="D18" s="2" t="s">
        <v>120</v>
      </c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10"/>
      <c r="C19" s="22" t="s">
        <v>121</v>
      </c>
      <c r="D19" s="34"/>
      <c r="E19" s="23"/>
      <c r="F19" s="24"/>
      <c r="G19" s="58">
        <f>SUM(G11:G18)</f>
        <v>69610000</v>
      </c>
      <c r="H19" s="58">
        <f t="shared" ref="H19:L19" si="0">SUM(H11:H18)</f>
        <v>53000000</v>
      </c>
      <c r="I19" s="58">
        <f t="shared" si="0"/>
        <v>53000000</v>
      </c>
      <c r="J19" s="58">
        <f t="shared" si="0"/>
        <v>53000000</v>
      </c>
      <c r="K19" s="58">
        <f t="shared" si="0"/>
        <v>53000000</v>
      </c>
      <c r="L19" s="58">
        <f t="shared" si="0"/>
        <v>53000000</v>
      </c>
    </row>
    <row r="20" spans="2:12" x14ac:dyDescent="0.25">
      <c r="B20" s="10"/>
      <c r="C20" s="22" t="s">
        <v>122</v>
      </c>
      <c r="D20" s="34"/>
      <c r="E20" s="23"/>
      <c r="F20" s="24"/>
      <c r="G20" s="23">
        <v>0</v>
      </c>
      <c r="H20" s="59">
        <f>+H19</f>
        <v>53000000</v>
      </c>
      <c r="I20" s="59">
        <f t="shared" ref="I20:L20" si="1">+I19</f>
        <v>53000000</v>
      </c>
      <c r="J20" s="59">
        <f t="shared" si="1"/>
        <v>53000000</v>
      </c>
      <c r="K20" s="59">
        <f t="shared" si="1"/>
        <v>53000000</v>
      </c>
      <c r="L20" s="59">
        <f t="shared" si="1"/>
        <v>53000000</v>
      </c>
    </row>
    <row r="21" spans="2:12" x14ac:dyDescent="0.25">
      <c r="B21" s="95" t="s">
        <v>27</v>
      </c>
      <c r="C21" s="52" t="s">
        <v>123</v>
      </c>
      <c r="D21" s="3"/>
      <c r="E21" s="3"/>
      <c r="F21" s="18"/>
      <c r="H21" s="12"/>
      <c r="I21" s="12"/>
      <c r="K21" s="12"/>
      <c r="L21" s="12"/>
    </row>
    <row r="22" spans="2:12" x14ac:dyDescent="0.25">
      <c r="B22" s="10"/>
      <c r="C22" s="22" t="s">
        <v>95</v>
      </c>
      <c r="D22" s="23" t="s">
        <v>98</v>
      </c>
      <c r="E22" s="23"/>
      <c r="F22" s="24"/>
      <c r="G22" s="83">
        <f>+'Tabel Lampiran 4'!H20</f>
        <v>38900000</v>
      </c>
      <c r="H22" s="19"/>
      <c r="I22" s="19"/>
      <c r="J22" s="23"/>
      <c r="K22" s="19"/>
      <c r="L22" s="19"/>
    </row>
    <row r="23" spans="2:12" x14ac:dyDescent="0.25">
      <c r="B23" s="21"/>
      <c r="C23" s="17" t="s">
        <v>45</v>
      </c>
      <c r="D23" t="s">
        <v>109</v>
      </c>
      <c r="F23" s="18"/>
      <c r="G23">
        <v>0</v>
      </c>
      <c r="H23" s="85">
        <f>+'Tabel Lampiran 7'!F26</f>
        <v>26250000</v>
      </c>
      <c r="I23" s="85">
        <f>+'Tabel Lampiran 7'!G26</f>
        <v>26250000</v>
      </c>
      <c r="J23" s="85">
        <f>+'Tabel Lampiran 7'!H26</f>
        <v>26250000</v>
      </c>
      <c r="K23" s="85">
        <f>+'Tabel Lampiran 7'!I26</f>
        <v>26250000</v>
      </c>
      <c r="L23" s="85">
        <f>+'Tabel Lampiran 7'!J26</f>
        <v>26250000</v>
      </c>
    </row>
    <row r="24" spans="2:12" x14ac:dyDescent="0.25">
      <c r="B24" s="10"/>
      <c r="C24" s="22" t="s">
        <v>46</v>
      </c>
      <c r="D24" s="23" t="s">
        <v>110</v>
      </c>
      <c r="E24" s="23"/>
      <c r="F24" s="24"/>
      <c r="G24" s="23">
        <v>0</v>
      </c>
      <c r="H24" s="59">
        <f>+'Tabel Lampiran 7'!F27</f>
        <v>2400000</v>
      </c>
      <c r="I24" s="59">
        <f>+'Tabel Lampiran 7'!G27</f>
        <v>2400000</v>
      </c>
      <c r="J24" s="59">
        <f>+'Tabel Lampiran 7'!H27</f>
        <v>2400000</v>
      </c>
      <c r="K24" s="59">
        <f>+'Tabel Lampiran 7'!I27</f>
        <v>2400000</v>
      </c>
      <c r="L24" s="59">
        <f>+'Tabel Lampiran 7'!J27</f>
        <v>2400000</v>
      </c>
    </row>
    <row r="25" spans="2:12" x14ac:dyDescent="0.25">
      <c r="B25" s="21"/>
      <c r="C25" s="17" t="s">
        <v>80</v>
      </c>
      <c r="D25" t="s">
        <v>124</v>
      </c>
      <c r="F25" s="18"/>
      <c r="G25">
        <v>0</v>
      </c>
      <c r="H25" s="85">
        <f>+'Tabel Lampiran 7'!F17</f>
        <v>10010000</v>
      </c>
      <c r="I25" s="85">
        <f>+'Tabel Lampiran 7'!G17</f>
        <v>10010000</v>
      </c>
      <c r="J25" s="85">
        <f>+'Tabel Lampiran 7'!H17</f>
        <v>10010000</v>
      </c>
      <c r="K25" s="85">
        <f>+'Tabel Lampiran 7'!I17</f>
        <v>10010000</v>
      </c>
      <c r="L25" s="85">
        <f>+'Tabel Lampiran 7'!J17</f>
        <v>10010000</v>
      </c>
    </row>
    <row r="26" spans="2:12" x14ac:dyDescent="0.25">
      <c r="B26" s="10"/>
      <c r="C26" s="22" t="s">
        <v>81</v>
      </c>
      <c r="D26" s="23" t="s">
        <v>125</v>
      </c>
      <c r="E26" s="23"/>
      <c r="F26" s="24"/>
      <c r="G26" s="23">
        <v>0</v>
      </c>
      <c r="H26" s="59">
        <f>+'Tabel Lampiran 7'!F18</f>
        <v>5005000</v>
      </c>
      <c r="I26" s="59">
        <f>+'Tabel Lampiran 7'!G18</f>
        <v>4004000</v>
      </c>
      <c r="J26" s="59">
        <f>+'Tabel Lampiran 7'!H18</f>
        <v>3003000</v>
      </c>
      <c r="K26" s="59">
        <f>+'Tabel Lampiran 7'!I18</f>
        <v>2002000</v>
      </c>
      <c r="L26" s="59">
        <f>+'Tabel Lampiran 7'!J18</f>
        <v>1001000</v>
      </c>
    </row>
    <row r="27" spans="2:12" x14ac:dyDescent="0.25">
      <c r="B27" s="21"/>
      <c r="C27" s="17" t="s">
        <v>82</v>
      </c>
      <c r="D27" t="s">
        <v>126</v>
      </c>
      <c r="F27" s="18"/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</row>
    <row r="28" spans="2:12" x14ac:dyDescent="0.25">
      <c r="B28" s="10"/>
      <c r="C28" s="22" t="s">
        <v>83</v>
      </c>
      <c r="D28" s="23" t="s">
        <v>127</v>
      </c>
      <c r="E28" s="23"/>
      <c r="F28" s="24"/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2:12" x14ac:dyDescent="0.25">
      <c r="B29" s="21"/>
      <c r="C29" s="17" t="s">
        <v>128</v>
      </c>
      <c r="F29" s="18"/>
      <c r="G29" s="59">
        <f>SUM(G22:G28)</f>
        <v>38900000</v>
      </c>
      <c r="H29" s="59">
        <f t="shared" ref="H29:L29" si="2">SUM(H22:H28)</f>
        <v>43665000</v>
      </c>
      <c r="I29" s="59">
        <f t="shared" si="2"/>
        <v>42664000</v>
      </c>
      <c r="J29" s="59">
        <f t="shared" si="2"/>
        <v>41663000</v>
      </c>
      <c r="K29" s="59">
        <f t="shared" si="2"/>
        <v>40662000</v>
      </c>
      <c r="L29" s="59">
        <f t="shared" si="2"/>
        <v>39661000</v>
      </c>
    </row>
    <row r="30" spans="2:12" x14ac:dyDescent="0.25">
      <c r="B30" s="10"/>
      <c r="C30" s="22" t="s">
        <v>165</v>
      </c>
      <c r="D30" s="34"/>
      <c r="E30" s="23"/>
      <c r="F30" s="24"/>
      <c r="G30" s="83">
        <f>+G29</f>
        <v>38900000</v>
      </c>
      <c r="H30" s="59">
        <f>+H23+H24</f>
        <v>28650000</v>
      </c>
      <c r="I30" s="59">
        <f t="shared" ref="I30:L30" si="3">+I23+I24</f>
        <v>28650000</v>
      </c>
      <c r="J30" s="59">
        <f t="shared" si="3"/>
        <v>28650000</v>
      </c>
      <c r="K30" s="59">
        <f t="shared" si="3"/>
        <v>28650000</v>
      </c>
      <c r="L30" s="59">
        <f t="shared" si="3"/>
        <v>28650000</v>
      </c>
    </row>
    <row r="31" spans="2:12" x14ac:dyDescent="0.25">
      <c r="B31" s="10"/>
      <c r="C31" s="32" t="s">
        <v>129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96" t="s">
        <v>29</v>
      </c>
      <c r="C32" s="46" t="s">
        <v>130</v>
      </c>
      <c r="D32" s="47"/>
      <c r="E32" s="47"/>
      <c r="F32" s="24"/>
      <c r="G32" s="59">
        <f>+G19-G29</f>
        <v>30710000</v>
      </c>
      <c r="H32" s="59">
        <f t="shared" ref="H32:L32" si="4">+H19-H29</f>
        <v>9335000</v>
      </c>
      <c r="I32" s="59">
        <f t="shared" si="4"/>
        <v>10336000</v>
      </c>
      <c r="J32" s="59">
        <f t="shared" si="4"/>
        <v>11337000</v>
      </c>
      <c r="K32" s="59">
        <f t="shared" si="4"/>
        <v>12338000</v>
      </c>
      <c r="L32" s="59">
        <f t="shared" si="4"/>
        <v>13339000</v>
      </c>
    </row>
    <row r="33" spans="2:12" x14ac:dyDescent="0.25">
      <c r="B33" s="51"/>
      <c r="C33" s="22" t="s">
        <v>131</v>
      </c>
      <c r="D33" s="23"/>
      <c r="E33" s="23"/>
      <c r="F33" s="24"/>
      <c r="G33" s="83">
        <f>+G20-G30</f>
        <v>-38900000</v>
      </c>
      <c r="H33" s="59">
        <f>+H20-H30</f>
        <v>24350000</v>
      </c>
      <c r="I33" s="59">
        <f t="shared" ref="I33:L33" si="5">+I20-I30</f>
        <v>24350000</v>
      </c>
      <c r="J33" s="59">
        <f t="shared" si="5"/>
        <v>24350000</v>
      </c>
      <c r="K33" s="59">
        <f t="shared" si="5"/>
        <v>24350000</v>
      </c>
      <c r="L33" s="59">
        <f t="shared" si="5"/>
        <v>24350000</v>
      </c>
    </row>
    <row r="34" spans="2:12" x14ac:dyDescent="0.25">
      <c r="B34" s="51"/>
      <c r="C34" s="22" t="s">
        <v>132</v>
      </c>
      <c r="D34" s="23"/>
      <c r="E34" s="23"/>
      <c r="F34" s="24"/>
      <c r="G34" s="91">
        <f>1/(1+0.1)^0</f>
        <v>1</v>
      </c>
      <c r="H34" s="91">
        <f>1/(1+0.1)^1</f>
        <v>0.90909090909090906</v>
      </c>
      <c r="I34" s="91">
        <f>1/(1+0.1)^2</f>
        <v>0.82644628099173545</v>
      </c>
      <c r="J34" s="91">
        <f>1/(1+0.1)^3</f>
        <v>0.75131480090157754</v>
      </c>
      <c r="K34" s="91">
        <f>1/(1+0.1)^4</f>
        <v>0.68301345536507052</v>
      </c>
      <c r="L34" s="91">
        <f>1/(1+0.1)^5</f>
        <v>0.62092132305915493</v>
      </c>
    </row>
    <row r="35" spans="2:12" x14ac:dyDescent="0.25">
      <c r="B35" s="51"/>
      <c r="C35" s="22" t="s">
        <v>133</v>
      </c>
      <c r="D35" s="23"/>
      <c r="E35" s="23"/>
      <c r="F35" s="24"/>
      <c r="G35" s="59">
        <f>+G34*G33</f>
        <v>-38900000</v>
      </c>
      <c r="H35" s="59">
        <f t="shared" ref="H35:L35" si="6">+H34*H33</f>
        <v>22136363.636363637</v>
      </c>
      <c r="I35" s="59">
        <f t="shared" si="6"/>
        <v>20123966.94214876</v>
      </c>
      <c r="J35" s="59">
        <f t="shared" si="6"/>
        <v>18294515.401953414</v>
      </c>
      <c r="K35" s="59">
        <f t="shared" si="6"/>
        <v>16631377.638139468</v>
      </c>
      <c r="L35" s="59">
        <f t="shared" si="6"/>
        <v>15119434.216490423</v>
      </c>
    </row>
    <row r="36" spans="2:12" x14ac:dyDescent="0.25">
      <c r="B36" s="96" t="s">
        <v>33</v>
      </c>
      <c r="C36" s="46" t="s">
        <v>134</v>
      </c>
      <c r="D36" s="47"/>
      <c r="E36" s="47"/>
      <c r="F36" s="24"/>
      <c r="G36" s="83">
        <f>+G35</f>
        <v>-38900000</v>
      </c>
      <c r="H36" s="59">
        <f>+G36+H35</f>
        <v>-16763636.363636363</v>
      </c>
      <c r="I36" s="59">
        <f>+H36+I35</f>
        <v>3360330.5785123967</v>
      </c>
      <c r="J36" s="59">
        <f t="shared" ref="J36:L36" si="7">+I36+J35</f>
        <v>21654845.980465811</v>
      </c>
      <c r="K36" s="59">
        <f t="shared" si="7"/>
        <v>38286223.618605278</v>
      </c>
      <c r="L36" s="59">
        <f t="shared" si="7"/>
        <v>53405657.835095704</v>
      </c>
    </row>
    <row r="37" spans="2:12" x14ac:dyDescent="0.25">
      <c r="B37" s="98" t="s">
        <v>167</v>
      </c>
      <c r="C37" s="41"/>
      <c r="D37" s="41"/>
      <c r="E37" s="41"/>
      <c r="F37" s="31"/>
      <c r="G37" s="97"/>
      <c r="H37" s="84"/>
      <c r="I37" s="84"/>
      <c r="J37" s="84"/>
      <c r="K37" s="84"/>
      <c r="L37" s="84"/>
    </row>
    <row r="38" spans="2:12" x14ac:dyDescent="0.25">
      <c r="B38" s="50" t="s">
        <v>42</v>
      </c>
      <c r="C38" t="s">
        <v>135</v>
      </c>
      <c r="E38" s="23"/>
      <c r="F38" s="18"/>
      <c r="G38" s="59">
        <f>+L36</f>
        <v>53405657.835095704</v>
      </c>
    </row>
    <row r="39" spans="2:12" x14ac:dyDescent="0.25">
      <c r="B39" s="10" t="s">
        <v>45</v>
      </c>
      <c r="C39" s="55" t="s">
        <v>136</v>
      </c>
      <c r="D39" s="23"/>
      <c r="E39" s="23"/>
      <c r="F39" s="24"/>
      <c r="G39" s="92">
        <f>IRR(G33:L33,0.1)</f>
        <v>0.55771238458756556</v>
      </c>
    </row>
    <row r="40" spans="2:12" x14ac:dyDescent="0.25">
      <c r="B40" s="21" t="s">
        <v>46</v>
      </c>
      <c r="C40" t="s">
        <v>137</v>
      </c>
      <c r="E40" s="23"/>
      <c r="F40" s="18"/>
      <c r="G40" s="91">
        <f>SUM(G19:L19)/SUM(G29:L29)</f>
        <v>1.3535181926663027</v>
      </c>
    </row>
    <row r="41" spans="2:12" x14ac:dyDescent="0.25">
      <c r="B41" s="10" t="s">
        <v>80</v>
      </c>
      <c r="C41" s="23" t="s">
        <v>138</v>
      </c>
      <c r="D41" s="23"/>
      <c r="E41" s="23"/>
      <c r="F41" s="24"/>
      <c r="G41" s="19">
        <v>5</v>
      </c>
    </row>
    <row r="42" spans="2:12" x14ac:dyDescent="0.25">
      <c r="C42" t="s">
        <v>12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2025-10-30T13:22:54Z</dcterms:modified>
</cp:coreProperties>
</file>