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62822\Documents\Pembesaran Ikan Patin\"/>
    </mc:Choice>
  </mc:AlternateContent>
  <xr:revisionPtr revIDLastSave="0" documentId="8_{5DA8A81F-60E1-4485-9D28-2AD4963C5746}" xr6:coauthVersionLast="47" xr6:coauthVersionMax="47" xr10:uidLastSave="{00000000-0000-0000-0000-000000000000}"/>
  <bookViews>
    <workbookView xWindow="-120" yWindow="-120" windowWidth="20730" windowHeight="11160" firstSheet="5" activeTab="5" xr2:uid="{00000000-000D-0000-FFFF-FFFF00000000}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L9" i="1" l="1"/>
  <c r="H23" i="4" l="1"/>
  <c r="J23" i="4" s="1"/>
  <c r="H13" i="4"/>
  <c r="J13" i="4" s="1"/>
  <c r="G19" i="3"/>
  <c r="G15" i="3" l="1"/>
  <c r="I17" i="5" l="1"/>
  <c r="I18" i="5" s="1"/>
  <c r="L33" i="8"/>
  <c r="K33" i="8"/>
  <c r="J33" i="8"/>
  <c r="I33" i="8"/>
  <c r="H33" i="8"/>
  <c r="G33" i="8"/>
  <c r="F24" i="6"/>
  <c r="F23" i="6"/>
  <c r="F20" i="6"/>
  <c r="F19" i="6"/>
  <c r="J26" i="5"/>
  <c r="L26" i="5" s="1"/>
  <c r="J25" i="5"/>
  <c r="L25" i="5" s="1"/>
  <c r="J24" i="5"/>
  <c r="J17" i="5"/>
  <c r="L17" i="5" s="1"/>
  <c r="J16" i="5"/>
  <c r="J13" i="5"/>
  <c r="L13" i="5" s="1"/>
  <c r="J12" i="5"/>
  <c r="L12" i="5" s="1"/>
  <c r="J11" i="5"/>
  <c r="L11" i="5" s="1"/>
  <c r="L24" i="5" l="1"/>
  <c r="L27" i="5" s="1"/>
  <c r="F26" i="7" s="1"/>
  <c r="J27" i="5"/>
  <c r="H11" i="6" s="1"/>
  <c r="I19" i="5"/>
  <c r="J18" i="5"/>
  <c r="L18" i="5" s="1"/>
  <c r="G26" i="7"/>
  <c r="I11" i="6"/>
  <c r="L16" i="5"/>
  <c r="I20" i="5" l="1"/>
  <c r="J19" i="5"/>
  <c r="H23" i="8"/>
  <c r="H26" i="7"/>
  <c r="I23" i="8"/>
  <c r="I21" i="5" l="1"/>
  <c r="J20" i="5"/>
  <c r="L20" i="5" s="1"/>
  <c r="L19" i="5"/>
  <c r="I26" i="7"/>
  <c r="J23" i="8"/>
  <c r="J21" i="5" l="1"/>
  <c r="J26" i="7"/>
  <c r="L23" i="8" s="1"/>
  <c r="K23" i="8"/>
  <c r="L21" i="5" l="1"/>
  <c r="L22" i="5" s="1"/>
  <c r="J22" i="5"/>
  <c r="J10" i="5"/>
  <c r="J14" i="5" s="1"/>
  <c r="L28" i="5" l="1"/>
  <c r="F25" i="7"/>
  <c r="H10" i="6"/>
  <c r="I10" i="6" s="1"/>
  <c r="J28" i="5"/>
  <c r="H9" i="6"/>
  <c r="I9" i="6" s="1"/>
  <c r="L14" i="5"/>
  <c r="F24" i="7" s="1"/>
  <c r="L10" i="5"/>
  <c r="H25" i="4"/>
  <c r="J25" i="4" s="1"/>
  <c r="H22" i="4"/>
  <c r="J22" i="4" s="1"/>
  <c r="H21" i="4"/>
  <c r="J21" i="4" s="1"/>
  <c r="H20" i="4"/>
  <c r="J20" i="4" s="1"/>
  <c r="H19" i="4"/>
  <c r="H16" i="4"/>
  <c r="J16" i="4" s="1"/>
  <c r="J17" i="4" s="1"/>
  <c r="H12" i="4"/>
  <c r="J12" i="4" s="1"/>
  <c r="J14" i="4" s="1"/>
  <c r="Q9" i="1"/>
  <c r="V9" i="1" s="1"/>
  <c r="V11" i="1" s="1"/>
  <c r="F22" i="7" s="1"/>
  <c r="F31" i="7" s="1"/>
  <c r="I12" i="6" l="1"/>
  <c r="G25" i="7"/>
  <c r="H25" i="7" s="1"/>
  <c r="I25" i="7" s="1"/>
  <c r="J25" i="7" s="1"/>
  <c r="J19" i="4"/>
  <c r="J24" i="4" s="1"/>
  <c r="H24" i="4"/>
  <c r="H14" i="4"/>
  <c r="H17" i="4"/>
  <c r="G24" i="7"/>
  <c r="H22" i="8"/>
  <c r="H29" i="8" s="1"/>
  <c r="H20" i="6"/>
  <c r="I20" i="6" s="1"/>
  <c r="H19" i="6"/>
  <c r="I19" i="6" s="1"/>
  <c r="J26" i="4"/>
  <c r="F27" i="7" s="1"/>
  <c r="G27" i="7" s="1"/>
  <c r="H27" i="7" s="1"/>
  <c r="I27" i="7" s="1"/>
  <c r="J27" i="7" s="1"/>
  <c r="G22" i="7"/>
  <c r="G31" i="7" s="1"/>
  <c r="H10" i="8"/>
  <c r="H18" i="8" s="1"/>
  <c r="H26" i="4" l="1"/>
  <c r="H14" i="6" s="1"/>
  <c r="H23" i="6" s="1"/>
  <c r="I23" i="6" s="1"/>
  <c r="G16" i="8"/>
  <c r="G15" i="8"/>
  <c r="H24" i="7"/>
  <c r="I22" i="8"/>
  <c r="I29" i="8" s="1"/>
  <c r="F9" i="7"/>
  <c r="I21" i="6"/>
  <c r="H19" i="8"/>
  <c r="H32" i="8" s="1"/>
  <c r="H22" i="7"/>
  <c r="H31" i="7" s="1"/>
  <c r="I10" i="8"/>
  <c r="I18" i="8" s="1"/>
  <c r="I14" i="6" l="1"/>
  <c r="I15" i="6" s="1"/>
  <c r="I16" i="6" s="1"/>
  <c r="H24" i="6"/>
  <c r="I24" i="6" s="1"/>
  <c r="G21" i="8"/>
  <c r="G28" i="8" s="1"/>
  <c r="G29" i="8" s="1"/>
  <c r="G32" i="8" s="1"/>
  <c r="G34" i="8" s="1"/>
  <c r="G35" i="8" s="1"/>
  <c r="F11" i="7"/>
  <c r="G13" i="8"/>
  <c r="F10" i="7"/>
  <c r="G10" i="7" s="1"/>
  <c r="H10" i="7" s="1"/>
  <c r="I10" i="7" s="1"/>
  <c r="J10" i="7" s="1"/>
  <c r="I24" i="7"/>
  <c r="J22" i="8"/>
  <c r="J29" i="8" s="1"/>
  <c r="F12" i="7"/>
  <c r="I25" i="6"/>
  <c r="I19" i="8"/>
  <c r="I32" i="8" s="1"/>
  <c r="I34" i="8" s="1"/>
  <c r="H34" i="8"/>
  <c r="I22" i="7"/>
  <c r="I31" i="7" s="1"/>
  <c r="J10" i="8"/>
  <c r="J18" i="8" s="1"/>
  <c r="H35" i="8" l="1"/>
  <c r="I35" i="8" s="1"/>
  <c r="J24" i="7"/>
  <c r="L22" i="8" s="1"/>
  <c r="L29" i="8" s="1"/>
  <c r="K22" i="8"/>
  <c r="K29" i="8" s="1"/>
  <c r="G9" i="7"/>
  <c r="G12" i="8"/>
  <c r="G18" i="8" s="1"/>
  <c r="G31" i="8" s="1"/>
  <c r="F13" i="7"/>
  <c r="F14" i="7"/>
  <c r="F17" i="7" s="1"/>
  <c r="J19" i="8"/>
  <c r="J32" i="8" s="1"/>
  <c r="J34" i="8" s="1"/>
  <c r="J22" i="7"/>
  <c r="J31" i="7" s="1"/>
  <c r="K10" i="8"/>
  <c r="K18" i="8" s="1"/>
  <c r="J35" i="8" l="1"/>
  <c r="G11" i="7"/>
  <c r="H9" i="7"/>
  <c r="F28" i="7"/>
  <c r="H25" i="8"/>
  <c r="G13" i="7"/>
  <c r="F16" i="7"/>
  <c r="H24" i="8" s="1"/>
  <c r="G12" i="7"/>
  <c r="L10" i="8"/>
  <c r="L18" i="8" s="1"/>
  <c r="K19" i="8"/>
  <c r="K32" i="8" s="1"/>
  <c r="H28" i="8" l="1"/>
  <c r="H31" i="8" s="1"/>
  <c r="F29" i="7"/>
  <c r="F30" i="7" s="1"/>
  <c r="F32" i="7" s="1"/>
  <c r="H11" i="7"/>
  <c r="I9" i="7"/>
  <c r="H12" i="7"/>
  <c r="G14" i="7"/>
  <c r="G17" i="7" s="1"/>
  <c r="H13" i="7"/>
  <c r="G16" i="7"/>
  <c r="I24" i="8" s="1"/>
  <c r="K34" i="8"/>
  <c r="K35" i="8" s="1"/>
  <c r="L19" i="8"/>
  <c r="L32" i="8" s="1"/>
  <c r="L34" i="8" s="1"/>
  <c r="F33" i="7" l="1"/>
  <c r="L35" i="8"/>
  <c r="G38" i="8" s="1"/>
  <c r="J9" i="7"/>
  <c r="J11" i="7" s="1"/>
  <c r="I11" i="7"/>
  <c r="I25" i="8"/>
  <c r="I28" i="8" s="1"/>
  <c r="G28" i="7"/>
  <c r="G29" i="7" s="1"/>
  <c r="G30" i="7" s="1"/>
  <c r="G32" i="7" s="1"/>
  <c r="G33" i="7" s="1"/>
  <c r="I13" i="7"/>
  <c r="H16" i="7"/>
  <c r="J24" i="8" s="1"/>
  <c r="I12" i="7"/>
  <c r="H14" i="7"/>
  <c r="H17" i="7" s="1"/>
  <c r="G39" i="8"/>
  <c r="I31" i="8" l="1"/>
  <c r="J12" i="7"/>
  <c r="J14" i="7" s="1"/>
  <c r="J17" i="7" s="1"/>
  <c r="I14" i="7"/>
  <c r="I17" i="7" s="1"/>
  <c r="J13" i="7"/>
  <c r="J16" i="7" s="1"/>
  <c r="L24" i="8" s="1"/>
  <c r="I16" i="7"/>
  <c r="K24" i="8" s="1"/>
  <c r="H28" i="7"/>
  <c r="H29" i="7" s="1"/>
  <c r="H30" i="7" s="1"/>
  <c r="H32" i="7" s="1"/>
  <c r="J25" i="8"/>
  <c r="J28" i="8" s="1"/>
  <c r="H33" i="7" l="1"/>
  <c r="J31" i="8"/>
  <c r="K25" i="8"/>
  <c r="K28" i="8" s="1"/>
  <c r="I28" i="7"/>
  <c r="I29" i="7" s="1"/>
  <c r="I30" i="7" s="1"/>
  <c r="I32" i="7" s="1"/>
  <c r="I33" i="7" s="1"/>
  <c r="J28" i="7"/>
  <c r="J29" i="7" s="1"/>
  <c r="J30" i="7" s="1"/>
  <c r="J32" i="7" s="1"/>
  <c r="J33" i="7" s="1"/>
  <c r="L25" i="8"/>
  <c r="L28" i="8" s="1"/>
  <c r="L31" i="8" s="1"/>
  <c r="F34" i="7" l="1"/>
  <c r="F35" i="7"/>
  <c r="K31" i="8"/>
  <c r="G40" i="8"/>
</calcChain>
</file>

<file path=xl/sharedStrings.xml><?xml version="1.0" encoding="utf-8"?>
<sst xmlns="http://schemas.openxmlformats.org/spreadsheetml/2006/main" count="510" uniqueCount="228">
  <si>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</si>
  <si>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</si>
  <si>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</si>
  <si>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</si>
  <si>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</si>
  <si>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</si>
  <si>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</si>
  <si>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</si>
  <si>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</si>
  <si>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</si>
  <si>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</si>
  <si>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</si>
  <si>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</si>
  <si>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</si>
  <si>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</si>
  <si>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</si>
  <si>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</si>
  <si>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Lamanya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</si>
  <si>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</si>
  <si>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</si>
  <si>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</si>
  <si>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</si>
  <si>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</si>
  <si>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</si>
  <si>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</si>
  <si>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</si>
  <si>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</si>
  <si>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</si>
  <si>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</si>
  <si>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</si>
  <si>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</si>
  <si>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</si>
  <si>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</si>
  <si>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</si>
  <si>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</si>
  <si>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</si>
  <si>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</si>
  <si>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</si>
  <si>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</si>
  <si>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</si>
  <si>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</si>
  <si>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</si>
  <si>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</si>
  <si>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</si>
  <si>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</si>
  <si>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</si>
  <si>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</si>
  <si>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</si>
  <si>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</si>
  <si>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</si>
  <si>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</si>
  <si>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</si>
  <si>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</si>
  <si>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</si>
  <si>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</si>
  <si>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</si>
  <si>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</si>
  <si>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</si>
  <si>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</si>
  <si>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</si>
  <si>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</si>
  <si>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</si>
  <si>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</si>
  <si>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</si>
  <si>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</si>
  <si>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</si>
  <si>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</si>
  <si>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</si>
  <si>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</si>
  <si>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</si>
  <si>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</si>
  <si>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</si>
  <si>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</si>
  <si>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</si>
  <si>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</si>
  <si>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Kendaraan roda dua</t>
  </si>
  <si>
    <t>Tabel Lampiran 4</t>
  </si>
  <si>
    <t>BIAYA OPERASIONAL</t>
  </si>
  <si>
    <t>NILAI RP</t>
  </si>
  <si>
    <t>PER SIKLUS</t>
  </si>
  <si>
    <t>PER BULAN</t>
  </si>
  <si>
    <t>PER TAHUN</t>
  </si>
  <si>
    <t>Jumlah biaya bahan</t>
  </si>
  <si>
    <t>Tenaga Kerja</t>
  </si>
  <si>
    <t>HOK</t>
  </si>
  <si>
    <t>Jumlah biaya tenaga kerja</t>
  </si>
  <si>
    <t>Pemasaran</t>
  </si>
  <si>
    <t>d.</t>
  </si>
  <si>
    <t>e.</t>
  </si>
  <si>
    <t>f.</t>
  </si>
  <si>
    <t>Operasional dan perawatan kendaraan</t>
  </si>
  <si>
    <t>g.</t>
  </si>
  <si>
    <t>Note : HOK = Hari Orang Kerja ; Siklus produksi tergantung jenis usahanya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</si>
  <si>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</si>
  <si>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</si>
  <si>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</si>
  <si>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</si>
  <si>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</si>
  <si>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</si>
  <si>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</si>
  <si>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</si>
  <si>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</si>
  <si>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KEBUTUHAN MODAL (RP)</t>
  </si>
  <si>
    <t>MODAL (RP)</t>
  </si>
  <si>
    <t>Modal Kerja</t>
  </si>
  <si>
    <t>a</t>
  </si>
  <si>
    <t>Siklus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</si>
  <si>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</si>
  <si>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</si>
  <si>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</si>
  <si>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</si>
  <si>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</si>
  <si>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</si>
  <si>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</si>
  <si>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</si>
  <si>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</si>
  <si>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</si>
  <si>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</si>
  <si>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</si>
  <si>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</si>
  <si>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</si>
  <si>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</si>
  <si>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</si>
  <si>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</si>
  <si>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</si>
  <si>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</si>
  <si>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</si>
  <si>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</si>
  <si>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</si>
  <si>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</si>
  <si>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</si>
  <si>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</si>
  <si>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</si>
  <si>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</si>
  <si>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</si>
  <si>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</si>
  <si>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</si>
  <si>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</si>
  <si>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</si>
  <si>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</si>
  <si>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</si>
  <si>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</si>
  <si>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</si>
  <si>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</si>
  <si>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</si>
  <si>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</si>
  <si>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</si>
  <si>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</si>
  <si>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</si>
  <si>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</si>
  <si>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</si>
  <si>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</si>
  <si>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</si>
  <si>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</si>
  <si>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kg</t>
  </si>
  <si>
    <t>Per Siklus</t>
  </si>
  <si>
    <t>Ket : HOK = Hari Orang Kerja</t>
  </si>
  <si>
    <t>Panen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</si>
  <si>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</si>
  <si>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</si>
  <si>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</si>
  <si>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</si>
  <si>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</si>
  <si>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</si>
  <si>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</si>
  <si>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Total 3</t>
  </si>
  <si>
    <t>Mesin-mesin :</t>
  </si>
  <si>
    <t>-  Cangkul</t>
  </si>
  <si>
    <t>-  Selang air</t>
  </si>
  <si>
    <t>Total 5</t>
  </si>
  <si>
    <t>Unit</t>
  </si>
  <si>
    <t>Total 4</t>
  </si>
  <si>
    <t>Peralatan :</t>
  </si>
  <si>
    <t>Buah</t>
  </si>
  <si>
    <t>Rol</t>
  </si>
  <si>
    <t>Bahan-bahan :</t>
  </si>
  <si>
    <t>Rp/bln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</si>
  <si>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</si>
  <si>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</si>
  <si>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</si>
  <si>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</si>
  <si>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</si>
  <si>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</si>
  <si>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</si>
  <si>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</si>
  <si>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</si>
  <si>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</si>
  <si>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</si>
  <si>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</si>
  <si>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</si>
  <si>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</si>
  <si>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</si>
  <si>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</si>
  <si>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</si>
  <si>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Perikanan</t>
  </si>
  <si>
    <t>Ikan patin segar</t>
  </si>
  <si>
    <t>(1 kg = 3 ekor)</t>
  </si>
  <si>
    <t>Note : Tingkat Kematian 2 %</t>
  </si>
  <si>
    <t>Rata-rata penjualan/Siklus Produksi (6 bln)</t>
  </si>
  <si>
    <t>Pembersihan kolam</t>
  </si>
  <si>
    <t>Penebaran</t>
  </si>
  <si>
    <t>Pemberian pakan</t>
  </si>
  <si>
    <t>Pemberian obat-obatan</t>
  </si>
  <si>
    <t>Pemisahan/sortir</t>
  </si>
  <si>
    <t>Ikan segar</t>
  </si>
  <si>
    <t>Pembelian lahan</t>
  </si>
  <si>
    <t>-  Kolam</t>
  </si>
  <si>
    <t>-  Pompa air dan biaya pengeboran</t>
  </si>
  <si>
    <t>-  Ember plastik</t>
  </si>
  <si>
    <t>-  Alat pakan</t>
  </si>
  <si>
    <t>Bibit ikan</t>
  </si>
  <si>
    <t>Pakan apung Pf 1000</t>
  </si>
  <si>
    <t>Pakan apung 781-z</t>
  </si>
  <si>
    <t>Obat-obatan</t>
  </si>
  <si>
    <t>Ekor</t>
  </si>
  <si>
    <t>Sak</t>
  </si>
  <si>
    <t>-  Alat pembersih kolam</t>
  </si>
  <si>
    <t>Note : Lahan milik sendiri</t>
  </si>
  <si>
    <t>Budidaya ikan patin skala 3.000 ekor</t>
  </si>
  <si>
    <t xml:space="preserve">Jumlah biaya </t>
  </si>
  <si>
    <t>Biaya overhead :</t>
  </si>
  <si>
    <t>Jumlah biaya overhead</t>
  </si>
  <si>
    <t>Biaya overhead</t>
  </si>
  <si>
    <t>Biaya Overhead</t>
  </si>
  <si>
    <t>Biaya Bahan</t>
  </si>
  <si>
    <t>Biaya Tenaga Kerja</t>
  </si>
  <si>
    <t>Rata-Rata Laba Bersih/Tahun</t>
  </si>
  <si>
    <t>Rata-Rata Profit Marjin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</si>
</sst>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60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Border="1"/>
    <xf numFmtId="0" fontId="0" fillId="0" borderId="11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7" xfId="0" quotePrefix="1" applyFont="1" applyBorder="1"/>
    <xf numFmtId="0" fontId="1" fillId="0" borderId="8" xfId="0" applyFont="1" applyBorder="1"/>
    <xf numFmtId="0" fontId="0" fillId="0" borderId="4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15" xfId="0" quotePrefix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3" xfId="1" applyFont="1" applyBorder="1" applyAlignment="1">
      <alignment vertical="center"/>
    </xf>
    <xf numFmtId="41" fontId="3" fillId="0" borderId="5" xfId="1" applyFont="1" applyBorder="1" applyAlignment="1">
      <alignment vertical="center"/>
    </xf>
    <xf numFmtId="0" fontId="1" fillId="0" borderId="11" xfId="0" quotePrefix="1" applyFont="1" applyBorder="1" applyAlignment="1">
      <alignment horizontal="center"/>
    </xf>
    <xf numFmtId="0" fontId="1" fillId="0" borderId="8" xfId="0" quotePrefix="1" applyFont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41" fontId="0" fillId="0" borderId="6" xfId="1" applyFont="1" applyBorder="1" applyAlignment="1">
      <alignment horizontal="center"/>
    </xf>
    <xf numFmtId="41" fontId="0" fillId="0" borderId="1" xfId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vertical="center"/>
    </xf>
    <xf numFmtId="0" fontId="0" fillId="0" borderId="3" xfId="0" quotePrefix="1" applyBorder="1" applyAlignment="1">
      <alignment horizontal="left"/>
    </xf>
    <xf numFmtId="0" fontId="6" fillId="2" borderId="5" xfId="0" applyFont="1" applyFill="1" applyBorder="1" applyAlignment="1">
      <alignment vertical="center"/>
    </xf>
    <xf numFmtId="43" fontId="0" fillId="0" borderId="1" xfId="0" applyNumberFormat="1" applyBorder="1"/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Ko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12"/>
  <sheetViews>
    <sheetView workbookViewId="0">
      <selection activeCell="B5" sqref="B5"/>
    </sheetView>
  </sheetViews>
  <sheetFormatPr defaultRowHeight="15" x14ac:dyDescent="0.25"/>
  <cols>
    <col min="2" max="2" width="4.42578125" customWidth="1"/>
    <col min="5" max="5" width="6.5703125" customWidth="1"/>
    <col min="6" max="11" width="9.140625" hidden="1" customWidth="1"/>
    <col min="12" max="12" width="17.28515625" customWidth="1"/>
    <col min="14" max="14" width="9.140625" hidden="1" customWidth="1"/>
    <col min="15" max="15" width="15.28515625" customWidth="1"/>
    <col min="16" max="16" width="9.140625" hidden="1" customWidth="1"/>
    <col min="17" max="17" width="12.85546875" customWidth="1"/>
    <col min="18" max="19" width="9.140625" hidden="1" customWidth="1"/>
    <col min="20" max="20" width="15" customWidth="1"/>
    <col min="21" max="21" width="14.5703125" customWidth="1"/>
    <col min="22" max="22" width="19" customWidth="1"/>
    <col min="23" max="23" width="0.140625" customWidth="1"/>
  </cols>
  <sheetData>
    <row r="1" spans="2:23" x14ac:dyDescent="0.25">
      <c r="B1" t="s">
        <v>15</v>
      </c>
    </row>
    <row r="2" spans="2:23" x14ac:dyDescent="0.25">
      <c r="B2" s="3" t="s">
        <v>0</v>
      </c>
      <c r="C2" s="3"/>
      <c r="D2" s="3"/>
      <c r="E2" s="2" t="s">
        <v>13</v>
      </c>
    </row>
    <row r="3" spans="2:23" x14ac:dyDescent="0.25">
      <c r="B3" t="s">
        <v>1</v>
      </c>
      <c r="E3" s="73" t="s">
        <v>12</v>
      </c>
      <c r="L3" t="s">
        <v>194</v>
      </c>
    </row>
    <row r="4" spans="2:23" x14ac:dyDescent="0.25">
      <c r="B4" t="s">
        <v>2</v>
      </c>
      <c r="E4" s="73" t="s">
        <v>12</v>
      </c>
      <c r="L4" t="s">
        <v>218</v>
      </c>
    </row>
    <row r="6" spans="2:23" x14ac:dyDescent="0.25">
      <c r="B6" s="152" t="s">
        <v>198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3" t="s">
        <v>3</v>
      </c>
      <c r="R6" s="153"/>
      <c r="S6" s="153"/>
      <c r="T6" s="153"/>
      <c r="U6" s="153"/>
      <c r="V6" s="153"/>
      <c r="W6" s="153"/>
    </row>
    <row r="7" spans="2:23" x14ac:dyDescent="0.25">
      <c r="B7" s="1" t="s">
        <v>4</v>
      </c>
      <c r="C7" s="152" t="s">
        <v>5</v>
      </c>
      <c r="D7" s="152"/>
      <c r="E7" s="152"/>
      <c r="F7" s="152"/>
      <c r="G7" s="152"/>
      <c r="H7" s="152"/>
      <c r="I7" s="152"/>
      <c r="J7" s="152"/>
      <c r="K7" s="152"/>
      <c r="L7" s="57" t="s">
        <v>6</v>
      </c>
      <c r="M7" s="154" t="s">
        <v>7</v>
      </c>
      <c r="N7" s="154"/>
      <c r="O7" s="142" t="s">
        <v>8</v>
      </c>
      <c r="P7" s="143"/>
      <c r="Q7" s="142" t="s">
        <v>155</v>
      </c>
      <c r="R7" s="151"/>
      <c r="S7" s="151"/>
      <c r="T7" s="57" t="s">
        <v>9</v>
      </c>
      <c r="U7" s="58" t="s">
        <v>14</v>
      </c>
      <c r="V7" s="142" t="s">
        <v>10</v>
      </c>
      <c r="W7" s="143"/>
    </row>
    <row r="8" spans="2:23" x14ac:dyDescent="0.25">
      <c r="B8" s="1"/>
      <c r="C8" s="61"/>
      <c r="D8" s="62"/>
      <c r="E8" s="62"/>
      <c r="F8" s="62"/>
      <c r="G8" s="62"/>
      <c r="H8" s="62"/>
      <c r="I8" s="62"/>
      <c r="J8" s="62"/>
      <c r="K8" s="63"/>
      <c r="L8" s="58"/>
      <c r="M8" s="110"/>
      <c r="N8" s="111"/>
      <c r="O8" s="58"/>
      <c r="P8" s="60"/>
      <c r="Q8" s="58"/>
      <c r="R8" s="59"/>
      <c r="S8" s="59"/>
      <c r="T8" s="57"/>
      <c r="U8" s="59"/>
      <c r="V8" s="58"/>
      <c r="W8" s="60"/>
    </row>
    <row r="9" spans="2:23" x14ac:dyDescent="0.25">
      <c r="B9" s="1" t="s">
        <v>26</v>
      </c>
      <c r="C9" s="144" t="s">
        <v>195</v>
      </c>
      <c r="D9" s="145"/>
      <c r="E9" s="145"/>
      <c r="F9" s="145"/>
      <c r="G9" s="145"/>
      <c r="H9" s="145"/>
      <c r="I9" s="145"/>
      <c r="J9" s="145"/>
      <c r="K9" s="146"/>
      <c r="L9" s="119">
        <f>0.98*2000/1.5</f>
        <v>1306.6666666666667</v>
      </c>
      <c r="M9" s="147" t="s">
        <v>154</v>
      </c>
      <c r="N9" s="148"/>
      <c r="O9" s="119">
        <v>18000</v>
      </c>
      <c r="P9" s="120"/>
      <c r="Q9" s="107">
        <f>+O9*L9</f>
        <v>23520000</v>
      </c>
      <c r="R9" s="108"/>
      <c r="S9" s="108"/>
      <c r="T9" s="112">
        <v>2</v>
      </c>
      <c r="U9" s="64" t="s">
        <v>158</v>
      </c>
      <c r="V9" s="107">
        <f>+Q9*T9</f>
        <v>47040000</v>
      </c>
      <c r="W9" s="109"/>
    </row>
    <row r="10" spans="2:23" x14ac:dyDescent="0.25">
      <c r="B10" s="1"/>
      <c r="C10" s="150" t="s">
        <v>196</v>
      </c>
      <c r="D10" s="145"/>
      <c r="E10" s="145"/>
      <c r="F10" s="145"/>
      <c r="G10" s="145"/>
      <c r="H10" s="145"/>
      <c r="I10" s="145"/>
      <c r="J10" s="145"/>
      <c r="K10" s="146"/>
      <c r="L10" s="58"/>
      <c r="M10" s="147"/>
      <c r="N10" s="148"/>
      <c r="O10" s="142"/>
      <c r="P10" s="143"/>
      <c r="Q10" s="142"/>
      <c r="R10" s="151"/>
      <c r="S10" s="151"/>
      <c r="T10" s="57"/>
      <c r="U10" s="59"/>
      <c r="V10" s="142"/>
      <c r="W10" s="143"/>
    </row>
    <row r="11" spans="2:23" x14ac:dyDescent="0.25">
      <c r="B11" s="147" t="s">
        <v>11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62"/>
      <c r="V11" s="107">
        <f>+V9</f>
        <v>47040000</v>
      </c>
      <c r="W11" s="109"/>
    </row>
    <row r="12" spans="2:23" x14ac:dyDescent="0.25">
      <c r="B12" t="s">
        <v>197</v>
      </c>
      <c r="V12" t="s">
        <v>13</v>
      </c>
    </row>
  </sheetData>
  <mergeCells count="15">
    <mergeCell ref="B6:P6"/>
    <mergeCell ref="Q6:W6"/>
    <mergeCell ref="C7:K7"/>
    <mergeCell ref="M7:N7"/>
    <mergeCell ref="O7:P7"/>
    <mergeCell ref="Q7:S7"/>
    <mergeCell ref="V7:W7"/>
    <mergeCell ref="V10:W10"/>
    <mergeCell ref="C9:K9"/>
    <mergeCell ref="M9:N9"/>
    <mergeCell ref="B11:T11"/>
    <mergeCell ref="C10:K10"/>
    <mergeCell ref="M10:N10"/>
    <mergeCell ref="O10:P10"/>
    <mergeCell ref="Q10:S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3"/>
  <sheetViews>
    <sheetView workbookViewId="0">
      <selection activeCell="A2" sqref="A2"/>
    </sheetView>
  </sheetViews>
  <sheetFormatPr defaultRowHeight="15" x14ac:dyDescent="0.25"/>
  <cols>
    <col min="2" max="2" width="5.5703125" customWidth="1"/>
    <col min="4" max="4" width="8.140625" customWidth="1"/>
    <col min="5" max="5" width="4" customWidth="1"/>
    <col min="7" max="7" width="1.140625" customWidth="1"/>
    <col min="9" max="9" width="0.42578125" customWidth="1"/>
    <col min="10" max="10" width="12.85546875" customWidth="1"/>
    <col min="11" max="15" width="9.140625" hidden="1" customWidth="1"/>
  </cols>
  <sheetData>
    <row r="1" spans="2:15" x14ac:dyDescent="0.25">
      <c r="B1" t="s">
        <v>16</v>
      </c>
    </row>
    <row r="2" spans="2:15" x14ac:dyDescent="0.25">
      <c r="B2" s="3" t="s">
        <v>18</v>
      </c>
      <c r="C2" s="3"/>
      <c r="D2" s="3"/>
      <c r="E2" s="2" t="s">
        <v>13</v>
      </c>
    </row>
    <row r="3" spans="2:15" x14ac:dyDescent="0.25">
      <c r="B3" t="s">
        <v>1</v>
      </c>
      <c r="E3" s="73" t="s">
        <v>12</v>
      </c>
      <c r="F3" t="s">
        <v>194</v>
      </c>
    </row>
    <row r="4" spans="2:15" x14ac:dyDescent="0.25">
      <c r="B4" t="s">
        <v>2</v>
      </c>
      <c r="E4" s="73" t="s">
        <v>12</v>
      </c>
      <c r="F4" t="s">
        <v>218</v>
      </c>
    </row>
    <row r="5" spans="2:15" x14ac:dyDescent="0.25">
      <c r="B5" s="100" t="s">
        <v>4</v>
      </c>
      <c r="C5" s="136" t="s">
        <v>19</v>
      </c>
      <c r="D5" s="137"/>
      <c r="E5" s="137"/>
      <c r="F5" s="137"/>
      <c r="G5" s="137"/>
      <c r="H5" s="101" t="s">
        <v>17</v>
      </c>
      <c r="I5" s="137"/>
      <c r="J5" s="102" t="s">
        <v>7</v>
      </c>
      <c r="K5" s="137"/>
      <c r="L5" s="137"/>
      <c r="M5" s="137"/>
      <c r="N5" s="137"/>
      <c r="O5" s="137"/>
    </row>
    <row r="6" spans="2:15" x14ac:dyDescent="0.25">
      <c r="B6" s="88" t="s">
        <v>26</v>
      </c>
      <c r="C6" s="77" t="s">
        <v>199</v>
      </c>
      <c r="D6" s="78"/>
      <c r="E6" s="78"/>
      <c r="F6" s="78"/>
      <c r="G6" s="89"/>
      <c r="H6" s="85">
        <v>2</v>
      </c>
      <c r="I6" s="78"/>
      <c r="J6" s="138" t="s">
        <v>84</v>
      </c>
      <c r="K6" s="78"/>
      <c r="L6" s="78"/>
      <c r="M6" s="78"/>
      <c r="N6" s="78"/>
      <c r="O6" s="78"/>
    </row>
    <row r="7" spans="2:15" x14ac:dyDescent="0.25">
      <c r="B7" s="90" t="s">
        <v>29</v>
      </c>
      <c r="C7" s="79" t="s">
        <v>200</v>
      </c>
      <c r="D7" s="80"/>
      <c r="E7" s="80"/>
      <c r="F7" s="80"/>
      <c r="G7" s="91"/>
      <c r="H7" s="84">
        <v>1</v>
      </c>
      <c r="I7" s="80"/>
      <c r="J7" s="139" t="s">
        <v>84</v>
      </c>
      <c r="K7" s="80"/>
      <c r="L7" s="80"/>
      <c r="M7" s="80"/>
      <c r="N7" s="80"/>
      <c r="O7" s="80"/>
    </row>
    <row r="8" spans="2:15" x14ac:dyDescent="0.25">
      <c r="B8" s="88" t="s">
        <v>31</v>
      </c>
      <c r="C8" s="77" t="s">
        <v>201</v>
      </c>
      <c r="D8" s="78"/>
      <c r="E8" s="78"/>
      <c r="F8" s="78"/>
      <c r="G8" s="89"/>
      <c r="H8" s="85">
        <v>25</v>
      </c>
      <c r="I8" s="78"/>
      <c r="J8" s="138" t="s">
        <v>84</v>
      </c>
      <c r="K8" s="78"/>
      <c r="L8" s="78"/>
      <c r="M8" s="78"/>
      <c r="N8" s="78"/>
      <c r="O8" s="78"/>
    </row>
    <row r="9" spans="2:15" x14ac:dyDescent="0.25">
      <c r="B9" s="87" t="s">
        <v>35</v>
      </c>
      <c r="C9" s="79" t="s">
        <v>202</v>
      </c>
      <c r="D9" s="80"/>
      <c r="E9" s="80"/>
      <c r="F9" s="80"/>
      <c r="G9" s="91"/>
      <c r="H9" s="84">
        <v>3</v>
      </c>
      <c r="I9" s="80"/>
      <c r="J9" s="139" t="s">
        <v>84</v>
      </c>
      <c r="K9" s="80"/>
      <c r="L9" s="80"/>
      <c r="M9" s="80"/>
      <c r="N9" s="80"/>
      <c r="O9" s="80"/>
    </row>
    <row r="10" spans="2:15" x14ac:dyDescent="0.25">
      <c r="B10" s="92" t="s">
        <v>36</v>
      </c>
      <c r="C10" s="77" t="s">
        <v>203</v>
      </c>
      <c r="D10" s="78"/>
      <c r="E10" s="78"/>
      <c r="F10" s="78"/>
      <c r="G10" s="89"/>
      <c r="H10" s="85">
        <v>6</v>
      </c>
      <c r="I10" s="78"/>
      <c r="J10" s="138" t="s">
        <v>84</v>
      </c>
      <c r="K10" s="78"/>
      <c r="L10" s="78"/>
      <c r="M10" s="78"/>
      <c r="N10" s="78"/>
      <c r="O10" s="78"/>
    </row>
    <row r="11" spans="2:15" x14ac:dyDescent="0.25">
      <c r="B11" s="93" t="s">
        <v>38</v>
      </c>
      <c r="C11" s="81" t="s">
        <v>157</v>
      </c>
      <c r="D11" s="82"/>
      <c r="E11" s="82"/>
      <c r="F11" s="82"/>
      <c r="G11" s="94"/>
      <c r="H11" s="86">
        <v>3</v>
      </c>
      <c r="I11" s="82"/>
      <c r="J11" s="140" t="s">
        <v>84</v>
      </c>
      <c r="K11" s="82"/>
      <c r="L11" s="82"/>
      <c r="M11" s="82"/>
      <c r="N11" s="82"/>
      <c r="O11" s="82"/>
    </row>
    <row r="12" spans="2:15" x14ac:dyDescent="0.25">
      <c r="B12" s="95"/>
      <c r="C12" s="96" t="s">
        <v>11</v>
      </c>
      <c r="D12" s="83"/>
      <c r="E12" s="83"/>
      <c r="F12" s="83"/>
      <c r="G12" s="97"/>
      <c r="H12" s="98">
        <f>SUM(H6:H11)</f>
        <v>40</v>
      </c>
      <c r="I12" s="83"/>
      <c r="J12" s="141" t="s">
        <v>84</v>
      </c>
      <c r="K12" s="83"/>
      <c r="L12" s="83"/>
      <c r="M12" s="83"/>
      <c r="N12" s="83"/>
      <c r="O12" s="83"/>
    </row>
    <row r="13" spans="2:15" x14ac:dyDescent="0.25">
      <c r="B13" t="s">
        <v>156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4"/>
  <sheetViews>
    <sheetView workbookViewId="0">
      <selection activeCell="G15" sqref="G15"/>
    </sheetView>
  </sheetViews>
  <sheetFormatPr defaultRowHeight="15" x14ac:dyDescent="0.25"/>
  <cols>
    <col min="2" max="2" width="5.5703125" customWidth="1"/>
    <col min="3" max="3" width="5.42578125" customWidth="1"/>
    <col min="4" max="4" width="14.42578125" customWidth="1"/>
    <col min="5" max="5" width="3.28515625" customWidth="1"/>
    <col min="7" max="7" width="15" customWidth="1"/>
    <col min="8" max="8" width="12.7109375" customWidth="1"/>
  </cols>
  <sheetData>
    <row r="2" spans="2:8" ht="15.75" x14ac:dyDescent="0.25">
      <c r="B2" s="4" t="s">
        <v>20</v>
      </c>
      <c r="C2" s="4"/>
      <c r="D2" s="4"/>
      <c r="E2" s="4"/>
    </row>
    <row r="3" spans="2:8" ht="15.75" x14ac:dyDescent="0.25">
      <c r="B3" s="5" t="s">
        <v>21</v>
      </c>
      <c r="C3" s="5"/>
      <c r="D3" s="5"/>
      <c r="E3" s="6" t="s">
        <v>13</v>
      </c>
    </row>
    <row r="4" spans="2:8" ht="15.75" x14ac:dyDescent="0.25">
      <c r="B4" s="5" t="s">
        <v>1</v>
      </c>
      <c r="C4" s="5"/>
      <c r="D4" s="5"/>
      <c r="E4" s="65" t="s">
        <v>12</v>
      </c>
      <c r="F4" t="s">
        <v>194</v>
      </c>
    </row>
    <row r="5" spans="2:8" ht="15.75" x14ac:dyDescent="0.25">
      <c r="B5" s="5" t="s">
        <v>2</v>
      </c>
      <c r="C5" s="5"/>
      <c r="D5" s="5"/>
      <c r="E5" s="65" t="s">
        <v>12</v>
      </c>
      <c r="F5" t="s">
        <v>218</v>
      </c>
    </row>
    <row r="7" spans="2:8" ht="15.75" x14ac:dyDescent="0.25">
      <c r="B7" s="27" t="s">
        <v>22</v>
      </c>
      <c r="C7" s="155" t="s">
        <v>23</v>
      </c>
      <c r="D7" s="156"/>
      <c r="E7" s="156"/>
      <c r="F7" s="156"/>
      <c r="G7" s="30" t="s">
        <v>24</v>
      </c>
      <c r="H7" s="30" t="s">
        <v>25</v>
      </c>
    </row>
    <row r="8" spans="2:8" x14ac:dyDescent="0.25">
      <c r="B8" s="11" t="s">
        <v>26</v>
      </c>
      <c r="C8" s="14" t="s">
        <v>27</v>
      </c>
      <c r="D8" s="15"/>
      <c r="E8" s="15"/>
      <c r="F8" s="15"/>
      <c r="G8" s="11">
        <v>5</v>
      </c>
      <c r="H8" s="25" t="s">
        <v>28</v>
      </c>
    </row>
    <row r="9" spans="2:8" x14ac:dyDescent="0.25">
      <c r="B9" s="26" t="s">
        <v>29</v>
      </c>
      <c r="C9" s="22" t="s">
        <v>32</v>
      </c>
      <c r="D9" s="23"/>
      <c r="E9" s="23"/>
      <c r="F9" s="23"/>
      <c r="G9" s="19">
        <v>12</v>
      </c>
      <c r="H9" s="10" t="s">
        <v>30</v>
      </c>
    </row>
    <row r="10" spans="2:8" x14ac:dyDescent="0.25">
      <c r="B10" s="20" t="s">
        <v>31</v>
      </c>
      <c r="C10" s="17" t="s">
        <v>33</v>
      </c>
      <c r="G10" s="12">
        <v>30</v>
      </c>
      <c r="H10" s="21" t="s">
        <v>34</v>
      </c>
    </row>
    <row r="11" spans="2:8" x14ac:dyDescent="0.25">
      <c r="B11" s="26" t="s">
        <v>35</v>
      </c>
      <c r="C11" s="22" t="s">
        <v>160</v>
      </c>
      <c r="D11" s="23"/>
      <c r="E11" s="23"/>
      <c r="F11" s="23"/>
      <c r="G11" s="66">
        <v>6</v>
      </c>
      <c r="H11" s="10" t="s">
        <v>30</v>
      </c>
    </row>
    <row r="12" spans="2:8" x14ac:dyDescent="0.25">
      <c r="B12" s="26" t="s">
        <v>36</v>
      </c>
      <c r="C12" s="22" t="s">
        <v>159</v>
      </c>
      <c r="D12" s="23"/>
      <c r="E12" s="23"/>
      <c r="F12" s="23"/>
      <c r="G12" s="19">
        <v>2</v>
      </c>
      <c r="H12" s="10" t="s">
        <v>37</v>
      </c>
    </row>
    <row r="13" spans="2:8" x14ac:dyDescent="0.25">
      <c r="B13" s="20" t="s">
        <v>38</v>
      </c>
      <c r="C13" s="17" t="s">
        <v>161</v>
      </c>
      <c r="G13" s="12"/>
      <c r="H13" s="12"/>
    </row>
    <row r="14" spans="2:8" x14ac:dyDescent="0.25">
      <c r="B14" s="12"/>
      <c r="C14" s="30" t="s">
        <v>4</v>
      </c>
      <c r="D14" s="155" t="s">
        <v>39</v>
      </c>
      <c r="E14" s="156"/>
      <c r="F14" s="156"/>
      <c r="G14" s="30" t="s">
        <v>11</v>
      </c>
      <c r="H14" s="30" t="s">
        <v>7</v>
      </c>
    </row>
    <row r="15" spans="2:8" x14ac:dyDescent="0.25">
      <c r="B15" s="12"/>
      <c r="C15" s="26" t="s">
        <v>26</v>
      </c>
      <c r="D15" s="23" t="s">
        <v>204</v>
      </c>
      <c r="E15" s="23"/>
      <c r="F15" s="23"/>
      <c r="G15" s="67">
        <f>+'Tabel Lampiran 1'!L9:L9</f>
        <v>1306.6666666666667</v>
      </c>
      <c r="H15" s="10" t="s">
        <v>162</v>
      </c>
    </row>
    <row r="16" spans="2:8" x14ac:dyDescent="0.25">
      <c r="B16" s="12"/>
      <c r="C16" s="19"/>
      <c r="D16" s="23"/>
      <c r="E16" s="23"/>
      <c r="F16" s="23"/>
      <c r="G16" s="19"/>
      <c r="H16" s="19"/>
    </row>
    <row r="17" spans="2:8" x14ac:dyDescent="0.25">
      <c r="B17" s="11" t="s">
        <v>40</v>
      </c>
      <c r="C17" s="17" t="s">
        <v>41</v>
      </c>
      <c r="G17" s="12"/>
      <c r="H17" s="12"/>
    </row>
    <row r="18" spans="2:8" x14ac:dyDescent="0.25">
      <c r="B18" s="12"/>
      <c r="C18" s="30" t="s">
        <v>4</v>
      </c>
      <c r="D18" s="156" t="s">
        <v>39</v>
      </c>
      <c r="E18" s="156"/>
      <c r="F18" s="156"/>
      <c r="G18" s="30" t="s">
        <v>8</v>
      </c>
      <c r="H18" s="30" t="s">
        <v>7</v>
      </c>
    </row>
    <row r="19" spans="2:8" x14ac:dyDescent="0.25">
      <c r="B19" s="12"/>
      <c r="C19" s="68" t="s">
        <v>26</v>
      </c>
      <c r="D19" s="23" t="s">
        <v>204</v>
      </c>
      <c r="E19" s="15"/>
      <c r="F19" s="15"/>
      <c r="G19" s="129">
        <f>+'Tabel Lampiran 1'!O9</f>
        <v>18000</v>
      </c>
      <c r="H19" s="21" t="s">
        <v>163</v>
      </c>
    </row>
    <row r="20" spans="2:8" x14ac:dyDescent="0.25">
      <c r="B20" s="12"/>
      <c r="C20" s="19"/>
      <c r="D20" s="23"/>
      <c r="E20" s="23"/>
      <c r="F20" s="23"/>
      <c r="G20" s="19"/>
      <c r="H20" s="19"/>
    </row>
    <row r="21" spans="2:8" x14ac:dyDescent="0.25">
      <c r="B21" s="11" t="s">
        <v>42</v>
      </c>
      <c r="C21" s="17" t="s">
        <v>43</v>
      </c>
      <c r="G21" s="12"/>
      <c r="H21" s="12"/>
    </row>
    <row r="22" spans="2:8" x14ac:dyDescent="0.25">
      <c r="B22" s="12"/>
      <c r="C22" s="22" t="s">
        <v>44</v>
      </c>
      <c r="D22" s="23" t="s">
        <v>45</v>
      </c>
      <c r="E22" s="23"/>
      <c r="F22" s="23"/>
      <c r="G22" s="19">
        <v>70</v>
      </c>
      <c r="H22" s="10" t="s">
        <v>50</v>
      </c>
    </row>
    <row r="23" spans="2:8" x14ac:dyDescent="0.25">
      <c r="B23" s="12"/>
      <c r="C23" s="17" t="s">
        <v>48</v>
      </c>
      <c r="D23" t="s">
        <v>46</v>
      </c>
      <c r="G23" s="12">
        <v>80</v>
      </c>
      <c r="H23" s="10" t="s">
        <v>50</v>
      </c>
    </row>
    <row r="24" spans="2:8" x14ac:dyDescent="0.25">
      <c r="B24" s="13"/>
      <c r="C24" s="22" t="s">
        <v>49</v>
      </c>
      <c r="D24" s="23" t="s">
        <v>47</v>
      </c>
      <c r="E24" s="23"/>
      <c r="F24" s="23"/>
      <c r="G24" s="19">
        <v>90</v>
      </c>
      <c r="H24" s="10" t="s">
        <v>50</v>
      </c>
    </row>
    <row r="25" spans="2:8" x14ac:dyDescent="0.25">
      <c r="B25" s="20" t="s">
        <v>51</v>
      </c>
      <c r="C25" s="17" t="s">
        <v>52</v>
      </c>
      <c r="G25" s="12">
        <v>10</v>
      </c>
      <c r="H25" s="10" t="s">
        <v>164</v>
      </c>
    </row>
    <row r="26" spans="2:8" x14ac:dyDescent="0.25">
      <c r="B26" s="26" t="s">
        <v>53</v>
      </c>
      <c r="C26" s="22" t="s">
        <v>54</v>
      </c>
      <c r="D26" s="23"/>
      <c r="E26" s="23"/>
      <c r="F26" s="23"/>
      <c r="G26" s="19">
        <v>10</v>
      </c>
      <c r="H26" s="10" t="s">
        <v>164</v>
      </c>
    </row>
    <row r="27" spans="2:8" x14ac:dyDescent="0.25">
      <c r="B27" s="26" t="s">
        <v>55</v>
      </c>
      <c r="C27" s="22" t="s">
        <v>56</v>
      </c>
      <c r="D27" s="23"/>
      <c r="E27" s="23"/>
      <c r="F27" s="23"/>
      <c r="G27" s="19"/>
      <c r="H27" s="10"/>
    </row>
    <row r="28" spans="2:8" x14ac:dyDescent="0.25">
      <c r="B28" s="12"/>
      <c r="C28" s="17" t="s">
        <v>44</v>
      </c>
      <c r="D28" t="s">
        <v>57</v>
      </c>
      <c r="G28" s="12">
        <v>70</v>
      </c>
      <c r="H28" s="10" t="s">
        <v>50</v>
      </c>
    </row>
    <row r="29" spans="2:8" x14ac:dyDescent="0.25">
      <c r="B29" s="19"/>
      <c r="C29" s="22" t="s">
        <v>48</v>
      </c>
      <c r="D29" s="23" t="s">
        <v>58</v>
      </c>
      <c r="E29" s="23"/>
      <c r="F29" s="23"/>
      <c r="G29" s="19">
        <v>30</v>
      </c>
      <c r="H29" s="10" t="s">
        <v>50</v>
      </c>
    </row>
    <row r="30" spans="2:8" x14ac:dyDescent="0.25">
      <c r="B30" s="20" t="s">
        <v>59</v>
      </c>
      <c r="C30" s="17" t="s">
        <v>60</v>
      </c>
      <c r="G30" s="12"/>
      <c r="H30" s="21"/>
    </row>
    <row r="31" spans="2:8" x14ac:dyDescent="0.25">
      <c r="B31" s="19"/>
      <c r="C31" s="22" t="s">
        <v>44</v>
      </c>
      <c r="D31" s="23" t="s">
        <v>57</v>
      </c>
      <c r="E31" s="23"/>
      <c r="F31" s="23"/>
      <c r="G31" s="19">
        <v>70</v>
      </c>
      <c r="H31" s="10" t="s">
        <v>50</v>
      </c>
    </row>
    <row r="32" spans="2:8" x14ac:dyDescent="0.25">
      <c r="B32" s="19"/>
      <c r="C32" s="22" t="s">
        <v>48</v>
      </c>
      <c r="D32" s="23" t="s">
        <v>58</v>
      </c>
      <c r="E32" s="23"/>
      <c r="F32" s="23"/>
      <c r="G32" s="19">
        <v>30</v>
      </c>
      <c r="H32" s="10" t="s">
        <v>50</v>
      </c>
    </row>
    <row r="33" spans="2:8" x14ac:dyDescent="0.25">
      <c r="B33" s="20" t="s">
        <v>61</v>
      </c>
      <c r="C33" s="17" t="s">
        <v>62</v>
      </c>
      <c r="G33" s="12">
        <v>5</v>
      </c>
      <c r="H33" s="21" t="s">
        <v>28</v>
      </c>
    </row>
    <row r="34" spans="2:8" x14ac:dyDescent="0.25">
      <c r="B34" s="26" t="s">
        <v>63</v>
      </c>
      <c r="C34" s="22" t="s">
        <v>64</v>
      </c>
      <c r="D34" s="23"/>
      <c r="E34" s="23"/>
      <c r="F34" s="23"/>
      <c r="G34" s="19">
        <v>5</v>
      </c>
      <c r="H34" s="10" t="s">
        <v>28</v>
      </c>
    </row>
  </sheetData>
  <mergeCells count="3">
    <mergeCell ref="C7:F7"/>
    <mergeCell ref="D14:F14"/>
    <mergeCell ref="D18:F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7"/>
  <sheetViews>
    <sheetView workbookViewId="0">
      <selection activeCell="B24" sqref="B24:F24"/>
    </sheetView>
  </sheetViews>
  <sheetFormatPr defaultRowHeight="15" x14ac:dyDescent="0.25"/>
  <cols>
    <col min="2" max="2" width="5.140625" customWidth="1"/>
    <col min="3" max="3" width="29.5703125" customWidth="1"/>
    <col min="4" max="4" width="3" customWidth="1"/>
    <col min="5" max="5" width="10.42578125" customWidth="1"/>
    <col min="6" max="6" width="11.5703125" customWidth="1"/>
    <col min="7" max="7" width="12.140625" customWidth="1"/>
    <col min="8" max="8" width="13.7109375" customWidth="1"/>
    <col min="9" max="9" width="18" customWidth="1"/>
    <col min="10" max="10" width="16.28515625" customWidth="1"/>
  </cols>
  <sheetData>
    <row r="2" spans="2:10" x14ac:dyDescent="0.25">
      <c r="B2" t="s">
        <v>76</v>
      </c>
    </row>
    <row r="3" spans="2:10" x14ac:dyDescent="0.25">
      <c r="B3" s="3" t="s">
        <v>65</v>
      </c>
      <c r="C3" s="3"/>
      <c r="D3" s="3"/>
      <c r="E3" s="31"/>
    </row>
    <row r="4" spans="2:10" x14ac:dyDescent="0.25">
      <c r="B4" s="3" t="s">
        <v>1</v>
      </c>
      <c r="C4" s="3"/>
      <c r="D4" s="36" t="s">
        <v>12</v>
      </c>
      <c r="E4" t="s">
        <v>194</v>
      </c>
    </row>
    <row r="5" spans="2:10" x14ac:dyDescent="0.25">
      <c r="B5" s="3" t="s">
        <v>2</v>
      </c>
      <c r="C5" s="3"/>
      <c r="D5" s="36" t="s">
        <v>12</v>
      </c>
      <c r="E5" t="s">
        <v>218</v>
      </c>
    </row>
    <row r="7" spans="2:10" x14ac:dyDescent="0.25">
      <c r="B7" s="37" t="s">
        <v>22</v>
      </c>
      <c r="C7" s="157" t="s">
        <v>23</v>
      </c>
      <c r="D7" s="158"/>
      <c r="E7" s="39" t="s">
        <v>66</v>
      </c>
      <c r="F7" s="39" t="s">
        <v>25</v>
      </c>
      <c r="G7" s="39" t="s">
        <v>67</v>
      </c>
      <c r="H7" s="39" t="s">
        <v>24</v>
      </c>
      <c r="I7" s="39" t="s">
        <v>68</v>
      </c>
      <c r="J7" s="39" t="s">
        <v>96</v>
      </c>
    </row>
    <row r="8" spans="2:10" x14ac:dyDescent="0.25">
      <c r="B8" s="40"/>
      <c r="C8" s="41"/>
      <c r="D8" s="42"/>
      <c r="E8" s="40"/>
      <c r="F8" s="40"/>
      <c r="G8" s="43" t="s">
        <v>25</v>
      </c>
      <c r="H8" s="43" t="s">
        <v>98</v>
      </c>
      <c r="I8" s="44" t="s">
        <v>69</v>
      </c>
      <c r="J8" s="43" t="s">
        <v>97</v>
      </c>
    </row>
    <row r="9" spans="2:10" x14ac:dyDescent="0.25">
      <c r="B9" s="33" t="s">
        <v>26</v>
      </c>
      <c r="C9" s="22" t="s">
        <v>70</v>
      </c>
      <c r="D9" s="23"/>
      <c r="E9" s="10" t="s">
        <v>158</v>
      </c>
      <c r="F9" s="10" t="s">
        <v>71</v>
      </c>
      <c r="G9" s="10" t="s">
        <v>158</v>
      </c>
      <c r="H9" s="70">
        <v>0</v>
      </c>
      <c r="I9" s="10" t="s">
        <v>158</v>
      </c>
      <c r="J9" s="70">
        <v>0</v>
      </c>
    </row>
    <row r="10" spans="2:10" x14ac:dyDescent="0.25">
      <c r="B10" s="34" t="s">
        <v>29</v>
      </c>
      <c r="C10" s="17" t="s">
        <v>205</v>
      </c>
      <c r="E10" s="10" t="s">
        <v>158</v>
      </c>
      <c r="F10" s="10" t="s">
        <v>158</v>
      </c>
      <c r="G10" s="10" t="s">
        <v>158</v>
      </c>
      <c r="H10" s="70">
        <v>0</v>
      </c>
      <c r="I10" s="10" t="s">
        <v>158</v>
      </c>
      <c r="J10" s="70">
        <v>0</v>
      </c>
    </row>
    <row r="11" spans="2:10" x14ac:dyDescent="0.25">
      <c r="B11" s="33" t="s">
        <v>31</v>
      </c>
      <c r="C11" s="22" t="s">
        <v>73</v>
      </c>
      <c r="D11" s="23"/>
      <c r="E11" s="19"/>
      <c r="F11" s="19"/>
      <c r="G11" s="19"/>
      <c r="H11" s="19"/>
      <c r="I11" s="19"/>
      <c r="J11" s="19"/>
    </row>
    <row r="12" spans="2:10" x14ac:dyDescent="0.25">
      <c r="B12" s="22"/>
      <c r="C12" s="33" t="s">
        <v>74</v>
      </c>
      <c r="D12" s="2"/>
      <c r="E12" s="19">
        <v>100</v>
      </c>
      <c r="F12" s="10" t="s">
        <v>72</v>
      </c>
      <c r="G12" s="67">
        <v>200000</v>
      </c>
      <c r="H12" s="69">
        <f>+E12*G12</f>
        <v>20000000</v>
      </c>
      <c r="I12" s="19">
        <v>15</v>
      </c>
      <c r="J12" s="67">
        <f>+H12/I12</f>
        <v>1333333.3333333333</v>
      </c>
    </row>
    <row r="13" spans="2:10" x14ac:dyDescent="0.25">
      <c r="B13" s="17"/>
      <c r="C13" s="34" t="s">
        <v>206</v>
      </c>
      <c r="D13" s="2"/>
      <c r="E13" s="10">
        <v>1</v>
      </c>
      <c r="F13" s="10" t="s">
        <v>71</v>
      </c>
      <c r="G13" s="130">
        <v>35000000</v>
      </c>
      <c r="H13" s="69">
        <f>+E13*G13</f>
        <v>35000000</v>
      </c>
      <c r="I13" s="70">
        <v>15</v>
      </c>
      <c r="J13" s="67">
        <f>+H13/I13</f>
        <v>2333333.3333333335</v>
      </c>
    </row>
    <row r="14" spans="2:10" x14ac:dyDescent="0.25">
      <c r="B14" s="22"/>
      <c r="C14" s="33" t="s">
        <v>165</v>
      </c>
      <c r="D14" s="35"/>
      <c r="E14" s="19"/>
      <c r="F14" s="10" t="s">
        <v>13</v>
      </c>
      <c r="G14" s="19"/>
      <c r="H14" s="67">
        <f>SUM(H9:H13)</f>
        <v>55000000</v>
      </c>
      <c r="I14" s="19"/>
      <c r="J14" s="67">
        <f>SUM(J9:J13)</f>
        <v>3666666.666666667</v>
      </c>
    </row>
    <row r="15" spans="2:10" x14ac:dyDescent="0.25">
      <c r="B15" s="33" t="s">
        <v>35</v>
      </c>
      <c r="C15" s="22" t="s">
        <v>166</v>
      </c>
      <c r="D15" s="23"/>
      <c r="E15" s="19"/>
      <c r="F15" s="10"/>
      <c r="G15" s="19"/>
      <c r="H15" s="19"/>
      <c r="I15" s="19"/>
      <c r="J15" s="19"/>
    </row>
    <row r="16" spans="2:10" x14ac:dyDescent="0.25">
      <c r="B16" s="26"/>
      <c r="C16" s="33" t="s">
        <v>207</v>
      </c>
      <c r="D16" s="24"/>
      <c r="E16" s="11">
        <v>1</v>
      </c>
      <c r="F16" s="10" t="s">
        <v>170</v>
      </c>
      <c r="G16" s="67">
        <v>10000000</v>
      </c>
      <c r="H16" s="69">
        <f>+E16*G16</f>
        <v>10000000</v>
      </c>
      <c r="I16" s="19">
        <v>5</v>
      </c>
      <c r="J16" s="67">
        <f>+H16/I16</f>
        <v>2000000</v>
      </c>
    </row>
    <row r="17" spans="2:10" x14ac:dyDescent="0.25">
      <c r="B17" s="33"/>
      <c r="C17" s="33" t="s">
        <v>171</v>
      </c>
      <c r="D17" s="24"/>
      <c r="E17" s="11"/>
      <c r="F17" s="10"/>
      <c r="G17" s="67"/>
      <c r="H17" s="69">
        <f>+H16</f>
        <v>10000000</v>
      </c>
      <c r="I17" s="19"/>
      <c r="J17" s="69">
        <f>+J16</f>
        <v>2000000</v>
      </c>
    </row>
    <row r="18" spans="2:10" x14ac:dyDescent="0.25">
      <c r="B18" s="33" t="s">
        <v>36</v>
      </c>
      <c r="C18" s="22" t="s">
        <v>172</v>
      </c>
      <c r="D18" s="24"/>
      <c r="E18" s="11" t="s">
        <v>13</v>
      </c>
      <c r="F18" s="10" t="s">
        <v>13</v>
      </c>
      <c r="G18" s="19"/>
      <c r="H18" s="19"/>
      <c r="I18" s="19"/>
      <c r="J18" s="19"/>
    </row>
    <row r="19" spans="2:10" x14ac:dyDescent="0.25">
      <c r="B19" s="33"/>
      <c r="C19" s="33" t="s">
        <v>208</v>
      </c>
      <c r="D19" s="24"/>
      <c r="E19" s="11">
        <v>2</v>
      </c>
      <c r="F19" s="10" t="s">
        <v>173</v>
      </c>
      <c r="G19" s="67">
        <v>25000</v>
      </c>
      <c r="H19" s="69">
        <f t="shared" ref="H19:H22" si="0">+E19*G19</f>
        <v>50000</v>
      </c>
      <c r="I19" s="19">
        <v>2</v>
      </c>
      <c r="J19" s="67">
        <f t="shared" ref="J19:J23" si="1">+H19/I19</f>
        <v>25000</v>
      </c>
    </row>
    <row r="20" spans="2:10" x14ac:dyDescent="0.25">
      <c r="B20" s="33"/>
      <c r="C20" s="33" t="s">
        <v>167</v>
      </c>
      <c r="D20" s="24"/>
      <c r="E20" s="11">
        <v>1</v>
      </c>
      <c r="F20" s="10" t="s">
        <v>173</v>
      </c>
      <c r="G20" s="67">
        <v>150000</v>
      </c>
      <c r="H20" s="69">
        <f t="shared" si="0"/>
        <v>150000</v>
      </c>
      <c r="I20" s="19">
        <v>2</v>
      </c>
      <c r="J20" s="67">
        <f t="shared" si="1"/>
        <v>75000</v>
      </c>
    </row>
    <row r="21" spans="2:10" x14ac:dyDescent="0.25">
      <c r="B21" s="33"/>
      <c r="C21" s="33" t="s">
        <v>168</v>
      </c>
      <c r="D21" s="24"/>
      <c r="E21" s="11">
        <v>1</v>
      </c>
      <c r="F21" s="10" t="s">
        <v>174</v>
      </c>
      <c r="G21" s="67">
        <v>300000</v>
      </c>
      <c r="H21" s="69">
        <f t="shared" si="0"/>
        <v>300000</v>
      </c>
      <c r="I21" s="19">
        <v>2</v>
      </c>
      <c r="J21" s="67">
        <f t="shared" si="1"/>
        <v>150000</v>
      </c>
    </row>
    <row r="22" spans="2:10" x14ac:dyDescent="0.25">
      <c r="B22" s="33"/>
      <c r="C22" s="33" t="s">
        <v>209</v>
      </c>
      <c r="D22" s="24"/>
      <c r="E22" s="11">
        <v>1</v>
      </c>
      <c r="F22" s="10" t="s">
        <v>71</v>
      </c>
      <c r="G22" s="67">
        <v>300000</v>
      </c>
      <c r="H22" s="69">
        <f t="shared" si="0"/>
        <v>300000</v>
      </c>
      <c r="I22" s="19">
        <v>4</v>
      </c>
      <c r="J22" s="67">
        <f t="shared" si="1"/>
        <v>75000</v>
      </c>
    </row>
    <row r="23" spans="2:10" x14ac:dyDescent="0.25">
      <c r="B23" s="33"/>
      <c r="C23" s="33" t="s">
        <v>216</v>
      </c>
      <c r="D23" s="24"/>
      <c r="E23" s="11">
        <v>1</v>
      </c>
      <c r="F23" s="10" t="s">
        <v>71</v>
      </c>
      <c r="G23" s="67">
        <v>300000</v>
      </c>
      <c r="H23" s="69">
        <f t="shared" ref="H23" si="2">+E23*G23</f>
        <v>300000</v>
      </c>
      <c r="I23" s="19">
        <v>2</v>
      </c>
      <c r="J23" s="67">
        <f t="shared" si="1"/>
        <v>150000</v>
      </c>
    </row>
    <row r="24" spans="2:10" x14ac:dyDescent="0.25">
      <c r="B24" s="33"/>
      <c r="C24" s="33" t="s">
        <v>169</v>
      </c>
      <c r="D24" s="23"/>
      <c r="E24" s="19"/>
      <c r="F24" s="10"/>
      <c r="G24" s="19"/>
      <c r="H24" s="69">
        <f>SUM(H19:H23)</f>
        <v>1100000</v>
      </c>
      <c r="I24" s="19"/>
      <c r="J24" s="69">
        <f>SUM(J19:J23)</f>
        <v>475000</v>
      </c>
    </row>
    <row r="25" spans="2:10" x14ac:dyDescent="0.25">
      <c r="B25" s="34" t="s">
        <v>38</v>
      </c>
      <c r="C25" s="17" t="s">
        <v>75</v>
      </c>
      <c r="E25" s="12">
        <v>1</v>
      </c>
      <c r="F25" s="131" t="s">
        <v>170</v>
      </c>
      <c r="G25" s="67">
        <v>14000000</v>
      </c>
      <c r="H25" s="69">
        <f t="shared" ref="H25" si="3">+E25*G25</f>
        <v>14000000</v>
      </c>
      <c r="I25" s="19">
        <v>5</v>
      </c>
      <c r="J25" s="67">
        <f t="shared" ref="J25" si="4">+H25/I25</f>
        <v>2800000</v>
      </c>
    </row>
    <row r="26" spans="2:10" x14ac:dyDescent="0.25">
      <c r="B26" s="22"/>
      <c r="C26" s="22" t="s">
        <v>11</v>
      </c>
      <c r="D26" s="23"/>
      <c r="E26" s="19"/>
      <c r="F26" s="19"/>
      <c r="G26" s="19"/>
      <c r="H26" s="69">
        <f>+H25+H24+H17+H14+H10+H9</f>
        <v>80100000</v>
      </c>
      <c r="I26" s="19"/>
      <c r="J26" s="69">
        <f>+J25+J24+J17+J14+J10+J9</f>
        <v>8941666.6666666679</v>
      </c>
    </row>
    <row r="27" spans="2:10" x14ac:dyDescent="0.25">
      <c r="B27" t="s">
        <v>217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29"/>
  <sheetViews>
    <sheetView topLeftCell="A5" workbookViewId="0">
      <selection activeCell="G19" sqref="G19"/>
    </sheetView>
  </sheetViews>
  <sheetFormatPr defaultRowHeight="15" x14ac:dyDescent="0.25"/>
  <cols>
    <col min="2" max="2" width="5.140625" customWidth="1"/>
    <col min="3" max="3" width="3.85546875" customWidth="1"/>
    <col min="4" max="4" width="27.7109375" customWidth="1"/>
    <col min="5" max="5" width="8.28515625" customWidth="1"/>
    <col min="6" max="6" width="2.28515625" customWidth="1"/>
    <col min="7" max="7" width="12.28515625" customWidth="1"/>
    <col min="8" max="8" width="10.140625" customWidth="1"/>
    <col min="9" max="9" width="13.42578125" customWidth="1"/>
    <col min="10" max="10" width="15.5703125" customWidth="1"/>
    <col min="11" max="11" width="16" customWidth="1"/>
    <col min="12" max="12" width="16.140625" customWidth="1"/>
  </cols>
  <sheetData>
    <row r="2" spans="2:12" x14ac:dyDescent="0.25">
      <c r="B2" t="s">
        <v>93</v>
      </c>
    </row>
    <row r="3" spans="2:12" x14ac:dyDescent="0.25">
      <c r="B3" s="3" t="s">
        <v>77</v>
      </c>
      <c r="C3" s="3"/>
      <c r="D3" s="3"/>
      <c r="E3" s="3"/>
      <c r="F3" s="31" t="s">
        <v>13</v>
      </c>
    </row>
    <row r="4" spans="2:12" x14ac:dyDescent="0.25">
      <c r="B4" s="3" t="s">
        <v>1</v>
      </c>
      <c r="C4" s="3"/>
      <c r="D4" s="3"/>
      <c r="E4" s="3"/>
      <c r="F4" s="36" t="s">
        <v>12</v>
      </c>
      <c r="G4" t="s">
        <v>194</v>
      </c>
    </row>
    <row r="5" spans="2:12" x14ac:dyDescent="0.25">
      <c r="B5" s="3" t="s">
        <v>2</v>
      </c>
      <c r="C5" s="3"/>
      <c r="D5" s="3"/>
      <c r="E5" s="3"/>
      <c r="F5" s="36" t="s">
        <v>12</v>
      </c>
      <c r="G5" t="s">
        <v>218</v>
      </c>
    </row>
    <row r="7" spans="2:12" x14ac:dyDescent="0.25">
      <c r="B7" s="37" t="s">
        <v>22</v>
      </c>
      <c r="C7" s="71"/>
      <c r="D7" s="38" t="s">
        <v>23</v>
      </c>
      <c r="E7" s="38"/>
      <c r="F7" s="45"/>
      <c r="G7" s="39" t="s">
        <v>66</v>
      </c>
      <c r="H7" s="39" t="s">
        <v>25</v>
      </c>
      <c r="I7" s="39" t="s">
        <v>67</v>
      </c>
      <c r="J7" s="39" t="s">
        <v>78</v>
      </c>
      <c r="K7" s="39" t="s">
        <v>78</v>
      </c>
      <c r="L7" s="39" t="s">
        <v>78</v>
      </c>
    </row>
    <row r="8" spans="2:12" x14ac:dyDescent="0.25">
      <c r="B8" s="40"/>
      <c r="C8" s="41"/>
      <c r="D8" s="42"/>
      <c r="E8" s="42"/>
      <c r="F8" s="46"/>
      <c r="G8" s="40"/>
      <c r="H8" s="40"/>
      <c r="I8" s="43" t="s">
        <v>25</v>
      </c>
      <c r="J8" s="43" t="s">
        <v>79</v>
      </c>
      <c r="K8" s="43" t="s">
        <v>80</v>
      </c>
      <c r="L8" s="43" t="s">
        <v>81</v>
      </c>
    </row>
    <row r="9" spans="2:12" x14ac:dyDescent="0.25">
      <c r="B9" s="33" t="s">
        <v>44</v>
      </c>
      <c r="C9" s="22" t="s">
        <v>175</v>
      </c>
      <c r="D9" s="23"/>
      <c r="E9" s="23"/>
      <c r="F9" s="24"/>
      <c r="G9" s="19"/>
      <c r="H9" s="10"/>
      <c r="I9" s="19"/>
      <c r="J9" s="19"/>
      <c r="K9" s="19"/>
      <c r="L9" s="19"/>
    </row>
    <row r="10" spans="2:12" x14ac:dyDescent="0.25">
      <c r="B10" s="34" t="s">
        <v>13</v>
      </c>
      <c r="C10" s="75" t="s">
        <v>158</v>
      </c>
      <c r="D10" t="s">
        <v>210</v>
      </c>
      <c r="F10" s="18"/>
      <c r="G10" s="67">
        <v>3000</v>
      </c>
      <c r="H10" s="10" t="s">
        <v>214</v>
      </c>
      <c r="I10" s="67">
        <v>150</v>
      </c>
      <c r="J10" s="69">
        <f>+G10*I10</f>
        <v>450000</v>
      </c>
      <c r="K10" s="10" t="s">
        <v>158</v>
      </c>
      <c r="L10" s="69">
        <f>2*J10</f>
        <v>900000</v>
      </c>
    </row>
    <row r="11" spans="2:12" x14ac:dyDescent="0.25">
      <c r="B11" s="33" t="s">
        <v>13</v>
      </c>
      <c r="C11" s="74" t="s">
        <v>158</v>
      </c>
      <c r="D11" s="35" t="s">
        <v>211</v>
      </c>
      <c r="E11" s="35"/>
      <c r="F11" s="24"/>
      <c r="G11" s="67">
        <v>8</v>
      </c>
      <c r="H11" s="10" t="s">
        <v>215</v>
      </c>
      <c r="I11" s="67">
        <v>200000</v>
      </c>
      <c r="J11" s="69">
        <f t="shared" ref="J11:J13" si="0">+G11*I11</f>
        <v>1600000</v>
      </c>
      <c r="K11" s="10" t="s">
        <v>158</v>
      </c>
      <c r="L11" s="69">
        <f t="shared" ref="L11:L14" si="1">2*J11</f>
        <v>3200000</v>
      </c>
    </row>
    <row r="12" spans="2:12" x14ac:dyDescent="0.25">
      <c r="B12" s="34" t="s">
        <v>13</v>
      </c>
      <c r="C12" s="75" t="s">
        <v>158</v>
      </c>
      <c r="D12" s="35" t="s">
        <v>212</v>
      </c>
      <c r="E12" s="35"/>
      <c r="F12" s="24"/>
      <c r="G12" s="67">
        <v>1</v>
      </c>
      <c r="H12" s="10" t="s">
        <v>215</v>
      </c>
      <c r="I12" s="67">
        <v>270000</v>
      </c>
      <c r="J12" s="69">
        <f t="shared" si="0"/>
        <v>270000</v>
      </c>
      <c r="K12" s="10" t="s">
        <v>158</v>
      </c>
      <c r="L12" s="69">
        <f t="shared" si="1"/>
        <v>540000</v>
      </c>
    </row>
    <row r="13" spans="2:12" x14ac:dyDescent="0.25">
      <c r="B13" s="33" t="s">
        <v>13</v>
      </c>
      <c r="C13" s="75" t="s">
        <v>158</v>
      </c>
      <c r="D13" s="35" t="s">
        <v>213</v>
      </c>
      <c r="E13" s="72"/>
      <c r="F13" s="32"/>
      <c r="G13" s="76">
        <v>1500</v>
      </c>
      <c r="H13" s="10" t="s">
        <v>162</v>
      </c>
      <c r="I13" s="67">
        <v>750</v>
      </c>
      <c r="J13" s="69">
        <f t="shared" si="0"/>
        <v>1125000</v>
      </c>
      <c r="K13" s="10" t="s">
        <v>158</v>
      </c>
      <c r="L13" s="69">
        <f t="shared" si="1"/>
        <v>2250000</v>
      </c>
    </row>
    <row r="14" spans="2:12" x14ac:dyDescent="0.25">
      <c r="B14" s="34"/>
      <c r="C14" s="34"/>
      <c r="D14" s="35" t="s">
        <v>82</v>
      </c>
      <c r="E14" s="72"/>
      <c r="F14" s="32"/>
      <c r="G14" s="76"/>
      <c r="H14" s="10"/>
      <c r="I14" s="19"/>
      <c r="J14" s="69">
        <f>SUM(J10:J13)</f>
        <v>3445000</v>
      </c>
      <c r="K14" s="19"/>
      <c r="L14" s="67">
        <f t="shared" si="1"/>
        <v>6890000</v>
      </c>
    </row>
    <row r="15" spans="2:12" x14ac:dyDescent="0.25">
      <c r="B15" s="33" t="s">
        <v>48</v>
      </c>
      <c r="C15" s="22" t="s">
        <v>83</v>
      </c>
      <c r="E15" s="23"/>
      <c r="F15" s="24"/>
      <c r="G15" s="19"/>
      <c r="H15" s="19"/>
      <c r="I15" s="19"/>
      <c r="J15" s="19"/>
      <c r="K15" s="19"/>
      <c r="L15" s="19"/>
    </row>
    <row r="16" spans="2:12" x14ac:dyDescent="0.25">
      <c r="B16" s="22"/>
      <c r="C16" s="75" t="s">
        <v>158</v>
      </c>
      <c r="D16" s="78" t="s">
        <v>199</v>
      </c>
      <c r="E16" s="78"/>
      <c r="F16" s="7"/>
      <c r="G16" s="85">
        <v>2</v>
      </c>
      <c r="H16" s="10" t="s">
        <v>84</v>
      </c>
      <c r="I16" s="67">
        <v>100000</v>
      </c>
      <c r="J16" s="69">
        <f t="shared" ref="J16:J24" si="2">+G16*I16</f>
        <v>200000</v>
      </c>
      <c r="K16" s="10" t="s">
        <v>158</v>
      </c>
      <c r="L16" s="69">
        <f t="shared" ref="L16:L24" si="3">2*J16</f>
        <v>400000</v>
      </c>
    </row>
    <row r="17" spans="2:12" x14ac:dyDescent="0.25">
      <c r="B17" s="22"/>
      <c r="C17" s="75" t="s">
        <v>158</v>
      </c>
      <c r="D17" s="80" t="s">
        <v>200</v>
      </c>
      <c r="E17" s="80"/>
      <c r="F17" s="8"/>
      <c r="G17" s="84">
        <v>1</v>
      </c>
      <c r="H17" s="10" t="s">
        <v>84</v>
      </c>
      <c r="I17" s="67">
        <f t="shared" ref="I17:I21" si="4">+I16</f>
        <v>100000</v>
      </c>
      <c r="J17" s="69">
        <f t="shared" si="2"/>
        <v>100000</v>
      </c>
      <c r="K17" s="10" t="s">
        <v>158</v>
      </c>
      <c r="L17" s="69">
        <f t="shared" si="3"/>
        <v>200000</v>
      </c>
    </row>
    <row r="18" spans="2:12" x14ac:dyDescent="0.25">
      <c r="B18" s="22"/>
      <c r="C18" s="75" t="s">
        <v>158</v>
      </c>
      <c r="D18" s="78" t="s">
        <v>201</v>
      </c>
      <c r="E18" s="78"/>
      <c r="F18" s="9"/>
      <c r="G18" s="85">
        <v>25</v>
      </c>
      <c r="H18" s="10" t="s">
        <v>84</v>
      </c>
      <c r="I18" s="67">
        <f t="shared" si="4"/>
        <v>100000</v>
      </c>
      <c r="J18" s="69">
        <f t="shared" si="2"/>
        <v>2500000</v>
      </c>
      <c r="K18" s="10" t="s">
        <v>158</v>
      </c>
      <c r="L18" s="69">
        <f t="shared" si="3"/>
        <v>5000000</v>
      </c>
    </row>
    <row r="19" spans="2:12" x14ac:dyDescent="0.25">
      <c r="B19" s="22"/>
      <c r="C19" s="75" t="s">
        <v>158</v>
      </c>
      <c r="D19" s="80" t="s">
        <v>202</v>
      </c>
      <c r="E19" s="80"/>
      <c r="F19" s="8"/>
      <c r="G19" s="84">
        <v>3</v>
      </c>
      <c r="H19" s="10" t="s">
        <v>84</v>
      </c>
      <c r="I19" s="67">
        <f t="shared" si="4"/>
        <v>100000</v>
      </c>
      <c r="J19" s="69">
        <f t="shared" si="2"/>
        <v>300000</v>
      </c>
      <c r="K19" s="10" t="s">
        <v>158</v>
      </c>
      <c r="L19" s="69">
        <f t="shared" si="3"/>
        <v>600000</v>
      </c>
    </row>
    <row r="20" spans="2:12" x14ac:dyDescent="0.25">
      <c r="B20" s="22"/>
      <c r="C20" s="75" t="s">
        <v>158</v>
      </c>
      <c r="D20" s="78" t="s">
        <v>203</v>
      </c>
      <c r="E20" s="78"/>
      <c r="F20" s="9"/>
      <c r="G20" s="85">
        <v>6</v>
      </c>
      <c r="H20" s="10" t="s">
        <v>84</v>
      </c>
      <c r="I20" s="67">
        <f t="shared" si="4"/>
        <v>100000</v>
      </c>
      <c r="J20" s="69">
        <f t="shared" si="2"/>
        <v>600000</v>
      </c>
      <c r="K20" s="10" t="s">
        <v>158</v>
      </c>
      <c r="L20" s="69">
        <f t="shared" si="3"/>
        <v>1200000</v>
      </c>
    </row>
    <row r="21" spans="2:12" x14ac:dyDescent="0.25">
      <c r="B21" s="19"/>
      <c r="C21" s="75" t="s">
        <v>158</v>
      </c>
      <c r="D21" s="82" t="s">
        <v>157</v>
      </c>
      <c r="E21" s="82"/>
      <c r="F21" s="8"/>
      <c r="G21" s="86">
        <v>3</v>
      </c>
      <c r="H21" s="10" t="s">
        <v>84</v>
      </c>
      <c r="I21" s="67">
        <f t="shared" si="4"/>
        <v>100000</v>
      </c>
      <c r="J21" s="69">
        <f t="shared" si="2"/>
        <v>300000</v>
      </c>
      <c r="K21" s="10" t="s">
        <v>158</v>
      </c>
      <c r="L21" s="69">
        <f t="shared" si="3"/>
        <v>600000</v>
      </c>
    </row>
    <row r="22" spans="2:12" x14ac:dyDescent="0.25">
      <c r="B22" s="19"/>
      <c r="C22" s="75"/>
      <c r="D22" s="103" t="s">
        <v>85</v>
      </c>
      <c r="E22" s="83"/>
      <c r="F22" s="134"/>
      <c r="G22" s="99"/>
      <c r="H22" s="10"/>
      <c r="I22" s="67"/>
      <c r="J22" s="69">
        <f>SUM(J16:J21)</f>
        <v>4000000</v>
      </c>
      <c r="K22" s="10"/>
      <c r="L22" s="69">
        <f>SUM(L16:L21)</f>
        <v>8000000</v>
      </c>
    </row>
    <row r="23" spans="2:12" x14ac:dyDescent="0.25">
      <c r="B23" s="17" t="s">
        <v>49</v>
      </c>
      <c r="C23" s="133" t="s">
        <v>220</v>
      </c>
      <c r="D23" s="103"/>
      <c r="E23" s="80"/>
      <c r="F23" s="9"/>
      <c r="G23" s="132"/>
      <c r="H23" s="10"/>
      <c r="I23" s="67"/>
      <c r="J23" s="69"/>
      <c r="K23" s="10"/>
      <c r="L23" s="69"/>
    </row>
    <row r="24" spans="2:12" x14ac:dyDescent="0.25">
      <c r="B24" s="22" t="s">
        <v>13</v>
      </c>
      <c r="C24" s="75" t="s">
        <v>158</v>
      </c>
      <c r="D24" s="35" t="s">
        <v>86</v>
      </c>
      <c r="E24" s="23"/>
      <c r="F24" s="24"/>
      <c r="G24" s="13">
        <v>1</v>
      </c>
      <c r="H24" s="10" t="s">
        <v>71</v>
      </c>
      <c r="I24" s="67">
        <v>250000</v>
      </c>
      <c r="J24" s="69">
        <f t="shared" si="2"/>
        <v>250000</v>
      </c>
      <c r="K24" s="10" t="s">
        <v>158</v>
      </c>
      <c r="L24" s="69">
        <f t="shared" si="3"/>
        <v>500000</v>
      </c>
    </row>
    <row r="25" spans="2:12" x14ac:dyDescent="0.25">
      <c r="B25" s="33" t="s">
        <v>13</v>
      </c>
      <c r="C25" s="75" t="s">
        <v>158</v>
      </c>
      <c r="D25" s="23" t="s">
        <v>90</v>
      </c>
      <c r="E25" s="23"/>
      <c r="F25" s="24"/>
      <c r="G25" s="11">
        <v>6</v>
      </c>
      <c r="H25" s="10" t="s">
        <v>176</v>
      </c>
      <c r="I25" s="67">
        <v>150000</v>
      </c>
      <c r="J25" s="69">
        <f t="shared" ref="J25" si="5">+G25*I25</f>
        <v>900000</v>
      </c>
      <c r="K25" s="25" t="s">
        <v>158</v>
      </c>
      <c r="L25" s="69">
        <f t="shared" ref="L25" si="6">2*J25</f>
        <v>1800000</v>
      </c>
    </row>
    <row r="26" spans="2:12" x14ac:dyDescent="0.25">
      <c r="B26" s="22" t="s">
        <v>13</v>
      </c>
      <c r="C26" s="75" t="s">
        <v>158</v>
      </c>
      <c r="D26" s="35" t="s">
        <v>94</v>
      </c>
      <c r="E26" s="23"/>
      <c r="F26" s="24"/>
      <c r="G26" s="11">
        <v>1</v>
      </c>
      <c r="H26" s="10" t="s">
        <v>71</v>
      </c>
      <c r="I26" s="67">
        <v>250000</v>
      </c>
      <c r="J26" s="69">
        <f t="shared" ref="J26" si="7">+G26*I26</f>
        <v>250000</v>
      </c>
      <c r="K26" s="25" t="s">
        <v>158</v>
      </c>
      <c r="L26" s="69">
        <f t="shared" ref="L26" si="8">2*J26</f>
        <v>500000</v>
      </c>
    </row>
    <row r="27" spans="2:12" x14ac:dyDescent="0.25">
      <c r="B27" s="22" t="s">
        <v>13</v>
      </c>
      <c r="C27" s="17"/>
      <c r="D27" s="35" t="s">
        <v>221</v>
      </c>
      <c r="E27" s="23"/>
      <c r="F27" s="24"/>
      <c r="G27" s="11"/>
      <c r="H27" s="10"/>
      <c r="I27" s="67"/>
      <c r="J27" s="69">
        <f>SUM(J24:J26)</f>
        <v>1400000</v>
      </c>
      <c r="K27" s="25"/>
      <c r="L27" s="69">
        <f>SUM(L24:L26)</f>
        <v>2800000</v>
      </c>
    </row>
    <row r="28" spans="2:12" x14ac:dyDescent="0.25">
      <c r="B28" s="33"/>
      <c r="C28" s="22" t="s">
        <v>219</v>
      </c>
      <c r="D28" s="23"/>
      <c r="E28" s="23"/>
      <c r="F28" s="24"/>
      <c r="G28" s="19"/>
      <c r="H28" s="10"/>
      <c r="I28" s="19"/>
      <c r="J28" s="67">
        <f>+J27+J22+J14</f>
        <v>8845000</v>
      </c>
      <c r="K28" s="19"/>
      <c r="L28" s="67">
        <f>+L27+L22+L14</f>
        <v>17690000</v>
      </c>
    </row>
    <row r="29" spans="2:12" x14ac:dyDescent="0.25">
      <c r="B29" t="s">
        <v>92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25"/>
  <sheetViews>
    <sheetView tabSelected="1" workbookViewId="0">
      <selection activeCell="H12" sqref="H12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2" spans="2:17" x14ac:dyDescent="0.25">
      <c r="B2" t="s">
        <v>99</v>
      </c>
    </row>
    <row r="3" spans="2:17" x14ac:dyDescent="0.25">
      <c r="B3" s="3" t="s">
        <v>100</v>
      </c>
      <c r="C3" s="3"/>
      <c r="D3" s="3"/>
      <c r="E3" s="31" t="s">
        <v>13</v>
      </c>
    </row>
    <row r="4" spans="2:17" x14ac:dyDescent="0.25">
      <c r="B4" s="3" t="s">
        <v>1</v>
      </c>
      <c r="C4" s="3"/>
      <c r="D4" s="3"/>
      <c r="E4" s="31" t="s">
        <v>12</v>
      </c>
      <c r="F4" t="s">
        <v>194</v>
      </c>
    </row>
    <row r="5" spans="2:17" x14ac:dyDescent="0.25">
      <c r="B5" s="3" t="s">
        <v>2</v>
      </c>
      <c r="C5" s="3"/>
      <c r="D5" s="3"/>
      <c r="E5" s="31" t="s">
        <v>12</v>
      </c>
      <c r="F5" t="s">
        <v>218</v>
      </c>
    </row>
    <row r="7" spans="2:17" x14ac:dyDescent="0.25">
      <c r="B7" s="30" t="s">
        <v>101</v>
      </c>
      <c r="C7" s="155" t="s">
        <v>23</v>
      </c>
      <c r="D7" s="156"/>
      <c r="E7" s="159"/>
      <c r="F7" s="30" t="s">
        <v>66</v>
      </c>
      <c r="G7" s="30" t="s">
        <v>25</v>
      </c>
      <c r="H7" s="30" t="s">
        <v>103</v>
      </c>
      <c r="I7" s="29" t="s">
        <v>102</v>
      </c>
    </row>
    <row r="8" spans="2:17" x14ac:dyDescent="0.25">
      <c r="B8" s="50" t="s">
        <v>26</v>
      </c>
      <c r="C8" s="54" t="s">
        <v>104</v>
      </c>
      <c r="D8" s="55"/>
      <c r="E8" s="16"/>
      <c r="G8" s="11"/>
      <c r="I8" s="11"/>
      <c r="Q8" t="s">
        <v>13</v>
      </c>
    </row>
    <row r="9" spans="2:17" x14ac:dyDescent="0.25">
      <c r="B9" s="19"/>
      <c r="C9" s="22" t="s">
        <v>44</v>
      </c>
      <c r="D9" s="23" t="s">
        <v>177</v>
      </c>
      <c r="E9" s="24"/>
      <c r="F9" s="23">
        <v>1</v>
      </c>
      <c r="G9" s="10" t="s">
        <v>106</v>
      </c>
      <c r="H9" s="104">
        <f>+'Tabel Lampiran 5'!J14</f>
        <v>3445000</v>
      </c>
      <c r="I9" s="69">
        <f>+H9</f>
        <v>3445000</v>
      </c>
    </row>
    <row r="10" spans="2:17" x14ac:dyDescent="0.25">
      <c r="B10" s="12" t="s">
        <v>13</v>
      </c>
      <c r="C10" s="17" t="s">
        <v>48</v>
      </c>
      <c r="D10" t="s">
        <v>83</v>
      </c>
      <c r="E10" s="18"/>
      <c r="F10">
        <v>1</v>
      </c>
      <c r="G10" s="21" t="s">
        <v>106</v>
      </c>
      <c r="H10" s="105">
        <f>+'Tabel Lampiran 5'!J22</f>
        <v>4000000</v>
      </c>
      <c r="I10" s="106">
        <f>+H10</f>
        <v>4000000</v>
      </c>
    </row>
    <row r="11" spans="2:17" x14ac:dyDescent="0.25">
      <c r="B11" s="19"/>
      <c r="C11" s="22" t="s">
        <v>49</v>
      </c>
      <c r="D11" s="23" t="s">
        <v>222</v>
      </c>
      <c r="E11" s="24"/>
      <c r="F11" s="23">
        <v>6</v>
      </c>
      <c r="G11" s="10" t="s">
        <v>30</v>
      </c>
      <c r="H11" s="104">
        <f>+'Tabel Lampiran 5'!J27</f>
        <v>1400000</v>
      </c>
      <c r="I11" s="69">
        <f>+H11</f>
        <v>1400000</v>
      </c>
    </row>
    <row r="12" spans="2:17" x14ac:dyDescent="0.25">
      <c r="B12" s="12"/>
      <c r="C12" s="17" t="s">
        <v>107</v>
      </c>
      <c r="E12" s="18"/>
      <c r="G12" s="12"/>
      <c r="H12" s="105" t="s">
        <v>13</v>
      </c>
      <c r="I12" s="106">
        <f>SUM(I9:I11)</f>
        <v>8845000</v>
      </c>
      <c r="K12" s="105" t="s">
        <v>13</v>
      </c>
    </row>
    <row r="13" spans="2:17" x14ac:dyDescent="0.25">
      <c r="B13" s="52" t="s">
        <v>29</v>
      </c>
      <c r="C13" s="47" t="s">
        <v>108</v>
      </c>
      <c r="D13" s="48"/>
      <c r="E13" s="24"/>
      <c r="F13" s="23"/>
      <c r="G13" s="19"/>
      <c r="H13" s="23"/>
      <c r="I13" s="19"/>
    </row>
    <row r="14" spans="2:17" x14ac:dyDescent="0.25">
      <c r="B14" s="12"/>
      <c r="C14" s="17" t="s">
        <v>44</v>
      </c>
      <c r="D14" t="s">
        <v>108</v>
      </c>
      <c r="E14" s="18"/>
      <c r="F14">
        <v>1</v>
      </c>
      <c r="G14" s="21" t="s">
        <v>71</v>
      </c>
      <c r="H14" s="105">
        <f>+'Tabel Lampiran 4'!H26</f>
        <v>80100000</v>
      </c>
      <c r="I14" s="106">
        <f>+H14</f>
        <v>80100000</v>
      </c>
    </row>
    <row r="15" spans="2:17" x14ac:dyDescent="0.25">
      <c r="B15" s="19"/>
      <c r="C15" s="22" t="s">
        <v>178</v>
      </c>
      <c r="D15" s="23"/>
      <c r="E15" s="24"/>
      <c r="F15" s="23"/>
      <c r="G15" s="19"/>
      <c r="H15" s="104" t="s">
        <v>13</v>
      </c>
      <c r="I15" s="69">
        <f>+I14</f>
        <v>80100000</v>
      </c>
    </row>
    <row r="16" spans="2:17" x14ac:dyDescent="0.25">
      <c r="B16" s="19"/>
      <c r="C16" s="22" t="s">
        <v>109</v>
      </c>
      <c r="D16" s="23"/>
      <c r="E16" s="24"/>
      <c r="F16" s="23"/>
      <c r="G16" s="19"/>
      <c r="H16" s="104"/>
      <c r="I16" s="69">
        <f>+I15+I12</f>
        <v>88945000</v>
      </c>
    </row>
    <row r="17" spans="2:12" x14ac:dyDescent="0.25">
      <c r="B17" s="12"/>
      <c r="C17" s="53" t="s">
        <v>113</v>
      </c>
      <c r="D17" s="3"/>
      <c r="E17" s="18"/>
      <c r="G17" s="12"/>
      <c r="I17" s="12"/>
    </row>
    <row r="18" spans="2:12" x14ac:dyDescent="0.25">
      <c r="B18" s="10" t="s">
        <v>26</v>
      </c>
      <c r="C18" s="22" t="s">
        <v>104</v>
      </c>
      <c r="D18" s="23"/>
      <c r="E18" s="24"/>
      <c r="F18" s="23"/>
      <c r="G18" s="19"/>
      <c r="H18" s="23"/>
      <c r="I18" s="19"/>
    </row>
    <row r="19" spans="2:12" x14ac:dyDescent="0.25">
      <c r="B19" s="21"/>
      <c r="C19" s="17" t="s">
        <v>44</v>
      </c>
      <c r="D19" t="s">
        <v>57</v>
      </c>
      <c r="E19" s="18"/>
      <c r="F19">
        <f>+'Tabel Lampiran 3'!G28</f>
        <v>70</v>
      </c>
      <c r="G19" s="70" t="s">
        <v>179</v>
      </c>
      <c r="H19" s="105">
        <f>+I12</f>
        <v>8845000</v>
      </c>
      <c r="I19" s="69">
        <f>+F19/100*H19</f>
        <v>6191500</v>
      </c>
      <c r="L19" s="105" t="s">
        <v>13</v>
      </c>
    </row>
    <row r="20" spans="2:12" x14ac:dyDescent="0.25">
      <c r="B20" s="10"/>
      <c r="C20" s="22" t="s">
        <v>48</v>
      </c>
      <c r="D20" s="23" t="s">
        <v>110</v>
      </c>
      <c r="E20" s="24"/>
      <c r="F20" s="23">
        <f>+'Tabel Lampiran 3'!G29</f>
        <v>30</v>
      </c>
      <c r="G20" s="70" t="s">
        <v>179</v>
      </c>
      <c r="H20" s="104">
        <f>+I12</f>
        <v>8845000</v>
      </c>
      <c r="I20" s="69">
        <f>+F20/100*H20</f>
        <v>2653500</v>
      </c>
    </row>
    <row r="21" spans="2:12" x14ac:dyDescent="0.25">
      <c r="B21" s="21"/>
      <c r="C21" s="17" t="s">
        <v>111</v>
      </c>
      <c r="E21" s="18"/>
      <c r="G21" s="12"/>
      <c r="H21" s="105"/>
      <c r="I21" s="106">
        <f>SUM(I19:I20)</f>
        <v>8845000</v>
      </c>
    </row>
    <row r="22" spans="2:12" x14ac:dyDescent="0.25">
      <c r="B22" s="52" t="s">
        <v>29</v>
      </c>
      <c r="C22" s="22" t="s">
        <v>108</v>
      </c>
      <c r="D22" s="23"/>
      <c r="E22" s="24"/>
      <c r="F22" s="23"/>
      <c r="G22" s="19"/>
      <c r="H22" s="23"/>
      <c r="I22" s="19"/>
    </row>
    <row r="23" spans="2:12" x14ac:dyDescent="0.25">
      <c r="B23" s="12"/>
      <c r="C23" s="17" t="s">
        <v>44</v>
      </c>
      <c r="D23" t="s">
        <v>57</v>
      </c>
      <c r="E23" s="18"/>
      <c r="F23">
        <f>+'Tabel Lampiran 3'!G31</f>
        <v>70</v>
      </c>
      <c r="G23" s="70" t="s">
        <v>179</v>
      </c>
      <c r="H23" s="105">
        <f>+H14</f>
        <v>80100000</v>
      </c>
      <c r="I23" s="69">
        <f t="shared" ref="I23:I24" si="0">+F23/100*H23</f>
        <v>56070000</v>
      </c>
    </row>
    <row r="24" spans="2:12" x14ac:dyDescent="0.25">
      <c r="B24" s="19"/>
      <c r="C24" s="22" t="s">
        <v>48</v>
      </c>
      <c r="D24" s="23" t="s">
        <v>110</v>
      </c>
      <c r="E24" s="24"/>
      <c r="F24" s="23">
        <f>+'Tabel Lampiran 3'!G32</f>
        <v>30</v>
      </c>
      <c r="G24" s="70" t="s">
        <v>179</v>
      </c>
      <c r="H24" s="104">
        <f>+H14</f>
        <v>80100000</v>
      </c>
      <c r="I24" s="69">
        <f t="shared" si="0"/>
        <v>24030000</v>
      </c>
    </row>
    <row r="25" spans="2:12" x14ac:dyDescent="0.25">
      <c r="B25" s="19"/>
      <c r="C25" s="22" t="s">
        <v>112</v>
      </c>
      <c r="D25" s="23"/>
      <c r="E25" s="24"/>
      <c r="F25" s="23"/>
      <c r="G25" s="19"/>
      <c r="H25" s="104" t="s">
        <v>13</v>
      </c>
      <c r="I25" s="69">
        <f>SUM(I23:I24)</f>
        <v>80100000</v>
      </c>
    </row>
  </sheetData>
  <mergeCells count="1">
    <mergeCell ref="C7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5"/>
  <sheetViews>
    <sheetView topLeftCell="A19" workbookViewId="0">
      <selection activeCell="K33" sqref="K33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4.7109375" customWidth="1"/>
    <col min="7" max="7" width="14.5703125" customWidth="1"/>
    <col min="8" max="8" width="13.5703125" customWidth="1"/>
    <col min="9" max="9" width="13.28515625" customWidth="1"/>
    <col min="10" max="10" width="14.28515625" customWidth="1"/>
    <col min="11" max="11" width="15.5703125" customWidth="1"/>
  </cols>
  <sheetData>
    <row r="2" spans="2:16" x14ac:dyDescent="0.25">
      <c r="B2" t="s">
        <v>114</v>
      </c>
    </row>
    <row r="3" spans="2:16" x14ac:dyDescent="0.25">
      <c r="B3" s="3" t="s">
        <v>115</v>
      </c>
      <c r="C3" s="3"/>
      <c r="D3" s="3"/>
      <c r="E3" s="31" t="s">
        <v>13</v>
      </c>
    </row>
    <row r="4" spans="2:16" x14ac:dyDescent="0.25">
      <c r="B4" s="3" t="s">
        <v>1</v>
      </c>
      <c r="C4" s="3"/>
      <c r="D4" s="3"/>
      <c r="E4" s="31" t="s">
        <v>12</v>
      </c>
      <c r="F4" t="s">
        <v>194</v>
      </c>
    </row>
    <row r="5" spans="2:16" x14ac:dyDescent="0.25">
      <c r="B5" s="3" t="s">
        <v>2</v>
      </c>
      <c r="C5" s="3"/>
      <c r="D5" s="3"/>
      <c r="E5" s="31" t="s">
        <v>12</v>
      </c>
      <c r="F5" t="s">
        <v>218</v>
      </c>
    </row>
    <row r="7" spans="2:16" x14ac:dyDescent="0.25">
      <c r="B7" s="42" t="s">
        <v>188</v>
      </c>
      <c r="C7" s="113"/>
      <c r="D7" s="113"/>
      <c r="E7" s="113"/>
      <c r="F7" s="113"/>
      <c r="G7" s="113"/>
      <c r="H7" s="113"/>
      <c r="I7" s="113"/>
      <c r="J7" s="113"/>
    </row>
    <row r="8" spans="2:16" x14ac:dyDescent="0.25">
      <c r="B8" s="30" t="s">
        <v>101</v>
      </c>
      <c r="C8" s="155" t="s">
        <v>23</v>
      </c>
      <c r="D8" s="156"/>
      <c r="E8" s="159"/>
      <c r="F8" s="28" t="s">
        <v>116</v>
      </c>
      <c r="G8" s="30" t="s">
        <v>117</v>
      </c>
      <c r="H8" s="28" t="s">
        <v>118</v>
      </c>
      <c r="I8" s="30" t="s">
        <v>119</v>
      </c>
      <c r="J8" s="30" t="s">
        <v>120</v>
      </c>
    </row>
    <row r="9" spans="2:16" x14ac:dyDescent="0.25">
      <c r="B9" s="52" t="s">
        <v>26</v>
      </c>
      <c r="C9" s="23" t="s">
        <v>186</v>
      </c>
      <c r="D9" s="23"/>
      <c r="E9" s="24"/>
      <c r="F9" s="69">
        <f>+'Tabel Lampiran 6'!I19</f>
        <v>6191500</v>
      </c>
      <c r="G9" s="69">
        <f>+F9-G10</f>
        <v>4953200</v>
      </c>
      <c r="H9" s="69">
        <f>+G9-H10</f>
        <v>3714900</v>
      </c>
      <c r="I9" s="69">
        <f>+H9-I10</f>
        <v>2476600</v>
      </c>
      <c r="J9" s="69">
        <f>+I9-J10</f>
        <v>1238300</v>
      </c>
      <c r="P9" t="s">
        <v>13</v>
      </c>
    </row>
    <row r="10" spans="2:16" x14ac:dyDescent="0.25">
      <c r="B10" s="19"/>
      <c r="C10" s="23" t="s">
        <v>44</v>
      </c>
      <c r="D10" s="23" t="s">
        <v>181</v>
      </c>
      <c r="E10" s="24"/>
      <c r="F10" s="67">
        <f>+F9/'Tabel Lampiran 3'!G33</f>
        <v>1238300</v>
      </c>
      <c r="G10" s="67">
        <f>+F10</f>
        <v>1238300</v>
      </c>
      <c r="H10" s="67">
        <f>+G10</f>
        <v>1238300</v>
      </c>
      <c r="I10" s="67">
        <f>+H10</f>
        <v>1238300</v>
      </c>
      <c r="J10" s="67">
        <f>+I10</f>
        <v>1238300</v>
      </c>
    </row>
    <row r="11" spans="2:16" x14ac:dyDescent="0.25">
      <c r="B11" s="19"/>
      <c r="C11" s="23" t="s">
        <v>48</v>
      </c>
      <c r="D11" s="23" t="s">
        <v>182</v>
      </c>
      <c r="E11" s="24"/>
      <c r="F11" s="67">
        <f>+'Tabel Lampiran 3'!G25/100*'Tabel Lampiran 7'!F9</f>
        <v>619150</v>
      </c>
      <c r="G11" s="67">
        <f>+'Tabel Lampiran 3'!G25/100*'Tabel Lampiran 7'!G9</f>
        <v>495320</v>
      </c>
      <c r="H11" s="67">
        <f>+'Tabel Lampiran 3'!G25/100*'Tabel Lampiran 7'!H9</f>
        <v>371490</v>
      </c>
      <c r="I11" s="67">
        <f>+'Tabel Lampiran 3'!G26/100*'Tabel Lampiran 7'!I9</f>
        <v>247660</v>
      </c>
      <c r="J11" s="67">
        <f>+'Tabel Lampiran 3'!G25/100*'Tabel Lampiran 7'!J9</f>
        <v>123830</v>
      </c>
      <c r="L11">
        <v>10</v>
      </c>
    </row>
    <row r="12" spans="2:16" x14ac:dyDescent="0.25">
      <c r="B12" s="10" t="s">
        <v>29</v>
      </c>
      <c r="C12" s="23" t="s">
        <v>187</v>
      </c>
      <c r="D12" s="23"/>
      <c r="E12" s="24"/>
      <c r="F12" s="67">
        <f>+'Tabel Lampiran 6'!I23</f>
        <v>56070000</v>
      </c>
      <c r="G12" s="67">
        <f>+F12-F13</f>
        <v>44856000</v>
      </c>
      <c r="H12" s="67">
        <f>+G12-G13</f>
        <v>33642000</v>
      </c>
      <c r="I12" s="67">
        <f>+H12-H13</f>
        <v>22428000</v>
      </c>
      <c r="J12" s="67">
        <f>+I12-I13</f>
        <v>11214000</v>
      </c>
    </row>
    <row r="13" spans="2:16" x14ac:dyDescent="0.25">
      <c r="B13" s="19"/>
      <c r="C13" s="23" t="s">
        <v>44</v>
      </c>
      <c r="D13" s="23" t="s">
        <v>181</v>
      </c>
      <c r="E13" s="24"/>
      <c r="F13" s="67">
        <f>+F12/'Tabel Lampiran 3'!G34</f>
        <v>11214000</v>
      </c>
      <c r="G13" s="67">
        <f>+F13</f>
        <v>11214000</v>
      </c>
      <c r="H13" s="67">
        <f>+G13</f>
        <v>11214000</v>
      </c>
      <c r="I13" s="67">
        <f>+H13</f>
        <v>11214000</v>
      </c>
      <c r="J13" s="67">
        <f>+I13</f>
        <v>11214000</v>
      </c>
    </row>
    <row r="14" spans="2:16" x14ac:dyDescent="0.25">
      <c r="B14" s="13"/>
      <c r="C14" s="113" t="s">
        <v>48</v>
      </c>
      <c r="D14" s="113" t="s">
        <v>182</v>
      </c>
      <c r="E14" s="32"/>
      <c r="F14" s="67">
        <f>+'Tabel Lampiran 3'!G25/100*'Tabel Lampiran 7'!F12</f>
        <v>5607000</v>
      </c>
      <c r="G14" s="67">
        <f>+'Tabel Lampiran 3'!G25/100*'Tabel Lampiran 7'!G12</f>
        <v>4485600</v>
      </c>
      <c r="H14" s="67">
        <f>+'Tabel Lampiran 3'!G25/100*'Tabel Lampiran 7'!H12</f>
        <v>3364200</v>
      </c>
      <c r="I14" s="67">
        <f>+'Tabel Lampiran 3'!G25/100*'Tabel Lampiran 7'!I12</f>
        <v>2242800</v>
      </c>
      <c r="J14" s="67">
        <f>+'Tabel Lampiran 3'!G25/100*'Tabel Lampiran 7'!J12</f>
        <v>1121400</v>
      </c>
    </row>
    <row r="15" spans="2:16" x14ac:dyDescent="0.25">
      <c r="B15" s="10">
        <v>3</v>
      </c>
      <c r="C15" s="23" t="s">
        <v>183</v>
      </c>
      <c r="D15" s="23"/>
      <c r="E15" s="23"/>
      <c r="F15" s="67"/>
      <c r="G15" s="67"/>
      <c r="H15" s="67"/>
      <c r="I15" s="67"/>
      <c r="J15" s="67"/>
    </row>
    <row r="16" spans="2:16" x14ac:dyDescent="0.25">
      <c r="B16" s="19"/>
      <c r="C16" s="23" t="s">
        <v>44</v>
      </c>
      <c r="D16" s="23" t="s">
        <v>184</v>
      </c>
      <c r="E16" s="23"/>
      <c r="F16" s="67">
        <f t="shared" ref="F16:J17" si="0">+F10+F13</f>
        <v>12452300</v>
      </c>
      <c r="G16" s="67">
        <f t="shared" si="0"/>
        <v>12452300</v>
      </c>
      <c r="H16" s="67">
        <f t="shared" si="0"/>
        <v>12452300</v>
      </c>
      <c r="I16" s="67">
        <f t="shared" si="0"/>
        <v>12452300</v>
      </c>
      <c r="J16" s="67">
        <f t="shared" si="0"/>
        <v>12452300</v>
      </c>
    </row>
    <row r="17" spans="2:11" x14ac:dyDescent="0.25">
      <c r="B17" s="19"/>
      <c r="C17" s="113" t="s">
        <v>48</v>
      </c>
      <c r="D17" s="23" t="s">
        <v>185</v>
      </c>
      <c r="E17" s="23"/>
      <c r="F17" s="67">
        <f t="shared" si="0"/>
        <v>6226150</v>
      </c>
      <c r="G17" s="67">
        <f t="shared" si="0"/>
        <v>4980920</v>
      </c>
      <c r="H17" s="67">
        <f t="shared" si="0"/>
        <v>3735690</v>
      </c>
      <c r="I17" s="67">
        <f t="shared" si="0"/>
        <v>2490460</v>
      </c>
      <c r="J17" s="67">
        <f t="shared" si="0"/>
        <v>1245230</v>
      </c>
    </row>
    <row r="19" spans="2:11" x14ac:dyDescent="0.25">
      <c r="B19" s="3" t="s">
        <v>115</v>
      </c>
      <c r="C19" s="3"/>
      <c r="D19" s="3"/>
    </row>
    <row r="20" spans="2:11" x14ac:dyDescent="0.25">
      <c r="B20" s="30" t="s">
        <v>101</v>
      </c>
      <c r="C20" s="155" t="s">
        <v>23</v>
      </c>
      <c r="D20" s="156"/>
      <c r="E20" s="159"/>
      <c r="F20" s="28" t="s">
        <v>116</v>
      </c>
      <c r="G20" s="30" t="s">
        <v>117</v>
      </c>
      <c r="H20" s="28" t="s">
        <v>118</v>
      </c>
      <c r="I20" s="30" t="s">
        <v>119</v>
      </c>
      <c r="J20" s="30" t="s">
        <v>120</v>
      </c>
    </row>
    <row r="21" spans="2:11" x14ac:dyDescent="0.25">
      <c r="B21" s="50" t="s">
        <v>26</v>
      </c>
      <c r="C21" s="49" t="s">
        <v>121</v>
      </c>
      <c r="D21" s="15"/>
      <c r="E21" s="16"/>
      <c r="F21" s="15"/>
      <c r="G21" s="11"/>
      <c r="H21" s="15"/>
      <c r="I21" s="11"/>
      <c r="J21" s="11"/>
    </row>
    <row r="22" spans="2:11" x14ac:dyDescent="0.25">
      <c r="B22" s="10"/>
      <c r="C22" s="22" t="s">
        <v>180</v>
      </c>
      <c r="D22" s="23"/>
      <c r="E22" s="24"/>
      <c r="F22" s="104">
        <f>+'Tabel Lampiran 1'!V11</f>
        <v>47040000</v>
      </c>
      <c r="G22" s="69">
        <f>+F22</f>
        <v>47040000</v>
      </c>
      <c r="H22" s="104">
        <f>+G22</f>
        <v>47040000</v>
      </c>
      <c r="I22" s="69">
        <f>+H22</f>
        <v>47040000</v>
      </c>
      <c r="J22" s="69">
        <f>+I22</f>
        <v>47040000</v>
      </c>
    </row>
    <row r="23" spans="2:11" x14ac:dyDescent="0.25">
      <c r="B23" s="51" t="s">
        <v>29</v>
      </c>
      <c r="C23" s="17" t="s">
        <v>122</v>
      </c>
      <c r="E23" s="18"/>
      <c r="G23" s="12"/>
      <c r="I23" s="12"/>
      <c r="J23" s="12"/>
    </row>
    <row r="24" spans="2:11" x14ac:dyDescent="0.25">
      <c r="B24" s="10"/>
      <c r="C24" s="22" t="s">
        <v>105</v>
      </c>
      <c r="D24" s="23" t="s">
        <v>224</v>
      </c>
      <c r="E24" s="24"/>
      <c r="F24" s="104">
        <f>+'Tabel Lampiran 5'!L14</f>
        <v>6890000</v>
      </c>
      <c r="G24" s="69">
        <f t="shared" ref="G24:J27" si="1">+F24</f>
        <v>6890000</v>
      </c>
      <c r="H24" s="104">
        <f t="shared" si="1"/>
        <v>6890000</v>
      </c>
      <c r="I24" s="69">
        <f t="shared" si="1"/>
        <v>6890000</v>
      </c>
      <c r="J24" s="69">
        <f t="shared" si="1"/>
        <v>6890000</v>
      </c>
    </row>
    <row r="25" spans="2:11" x14ac:dyDescent="0.25">
      <c r="B25" s="10"/>
      <c r="C25" s="22" t="s">
        <v>48</v>
      </c>
      <c r="D25" s="23" t="s">
        <v>225</v>
      </c>
      <c r="E25" s="24"/>
      <c r="F25" s="69">
        <f>+'Tabel Lampiran 5'!L22</f>
        <v>8000000</v>
      </c>
      <c r="G25" s="69">
        <f>+F25</f>
        <v>8000000</v>
      </c>
      <c r="H25" s="69">
        <f>+G25</f>
        <v>8000000</v>
      </c>
      <c r="I25" s="69">
        <f>+H25</f>
        <v>8000000</v>
      </c>
      <c r="J25" s="69">
        <f>+I25</f>
        <v>8000000</v>
      </c>
    </row>
    <row r="26" spans="2:11" x14ac:dyDescent="0.25">
      <c r="B26" s="21"/>
      <c r="C26" s="17" t="s">
        <v>49</v>
      </c>
      <c r="D26" t="s">
        <v>223</v>
      </c>
      <c r="E26" s="18"/>
      <c r="F26" s="105">
        <f>+'Tabel Lampiran 5'!L27</f>
        <v>2800000</v>
      </c>
      <c r="G26" s="106">
        <f t="shared" si="1"/>
        <v>2800000</v>
      </c>
      <c r="H26" s="105">
        <f t="shared" si="1"/>
        <v>2800000</v>
      </c>
      <c r="I26" s="106">
        <f t="shared" si="1"/>
        <v>2800000</v>
      </c>
      <c r="J26" s="106">
        <f t="shared" si="1"/>
        <v>2800000</v>
      </c>
    </row>
    <row r="27" spans="2:11" x14ac:dyDescent="0.25">
      <c r="B27" s="10"/>
      <c r="C27" s="22" t="s">
        <v>87</v>
      </c>
      <c r="D27" s="23" t="s">
        <v>95</v>
      </c>
      <c r="E27" s="24"/>
      <c r="F27" s="104">
        <f>+'Tabel Lampiran 4'!J26</f>
        <v>8941666.6666666679</v>
      </c>
      <c r="G27" s="69">
        <f t="shared" si="1"/>
        <v>8941666.6666666679</v>
      </c>
      <c r="H27" s="104">
        <f t="shared" si="1"/>
        <v>8941666.6666666679</v>
      </c>
      <c r="I27" s="69">
        <f t="shared" si="1"/>
        <v>8941666.6666666679</v>
      </c>
      <c r="J27" s="69">
        <f t="shared" si="1"/>
        <v>8941666.6666666679</v>
      </c>
    </row>
    <row r="28" spans="2:11" x14ac:dyDescent="0.25">
      <c r="B28" s="21"/>
      <c r="C28" s="17" t="s">
        <v>88</v>
      </c>
      <c r="D28" t="s">
        <v>123</v>
      </c>
      <c r="E28" s="18"/>
      <c r="F28" s="69">
        <f>+F17</f>
        <v>6226150</v>
      </c>
      <c r="G28" s="69">
        <f>+G17</f>
        <v>4980920</v>
      </c>
      <c r="H28" s="69">
        <f>+H17</f>
        <v>3735690</v>
      </c>
      <c r="I28" s="69">
        <f>+I17</f>
        <v>2490460</v>
      </c>
      <c r="J28" s="69">
        <f>+J17</f>
        <v>1245230</v>
      </c>
    </row>
    <row r="29" spans="2:11" x14ac:dyDescent="0.25">
      <c r="B29" s="10"/>
      <c r="C29" s="22" t="s">
        <v>126</v>
      </c>
      <c r="D29" s="23"/>
      <c r="E29" s="24"/>
      <c r="F29" s="69">
        <f>SUM(F24:F28)</f>
        <v>32857816.666666668</v>
      </c>
      <c r="G29" s="69">
        <f t="shared" ref="G29:J29" si="2">SUM(G24:G28)</f>
        <v>31612586.666666668</v>
      </c>
      <c r="H29" s="69">
        <f t="shared" si="2"/>
        <v>30367356.666666668</v>
      </c>
      <c r="I29" s="69">
        <f t="shared" si="2"/>
        <v>29122126.666666668</v>
      </c>
      <c r="J29" s="69">
        <f t="shared" si="2"/>
        <v>27876896.666666668</v>
      </c>
    </row>
    <row r="30" spans="2:11" x14ac:dyDescent="0.25">
      <c r="B30" s="21" t="s">
        <v>31</v>
      </c>
      <c r="C30" s="17" t="s">
        <v>127</v>
      </c>
      <c r="E30" s="18"/>
      <c r="F30" s="69">
        <f>+F22-F29</f>
        <v>14182183.333333332</v>
      </c>
      <c r="G30" s="69">
        <f t="shared" ref="G30:J30" si="3">+G22-G29</f>
        <v>15427413.333333332</v>
      </c>
      <c r="H30" s="69">
        <f t="shared" si="3"/>
        <v>16672643.333333332</v>
      </c>
      <c r="I30" s="69">
        <f t="shared" si="3"/>
        <v>17917873.333333332</v>
      </c>
      <c r="J30" s="69">
        <f t="shared" si="3"/>
        <v>19163103.333333332</v>
      </c>
    </row>
    <row r="31" spans="2:11" x14ac:dyDescent="0.25">
      <c r="B31" s="52" t="s">
        <v>35</v>
      </c>
      <c r="C31" s="22" t="s">
        <v>192</v>
      </c>
      <c r="D31" s="23"/>
      <c r="E31" s="24"/>
      <c r="F31" s="114">
        <f>0.5/100*F22</f>
        <v>235200</v>
      </c>
      <c r="G31" s="114">
        <f t="shared" ref="G31:J31" si="4">0.5/100*G22</f>
        <v>235200</v>
      </c>
      <c r="H31" s="114">
        <f t="shared" si="4"/>
        <v>235200</v>
      </c>
      <c r="I31" s="114">
        <f t="shared" si="4"/>
        <v>235200</v>
      </c>
      <c r="J31" s="114">
        <f t="shared" si="4"/>
        <v>235200</v>
      </c>
    </row>
    <row r="32" spans="2:11" x14ac:dyDescent="0.25">
      <c r="B32" s="10" t="s">
        <v>36</v>
      </c>
      <c r="C32" s="22" t="s">
        <v>128</v>
      </c>
      <c r="D32" s="23"/>
      <c r="E32" s="24"/>
      <c r="F32" s="69">
        <f>+F30-F31</f>
        <v>13946983.333333332</v>
      </c>
      <c r="G32" s="69">
        <f t="shared" ref="G32:J32" si="5">+G30-G31</f>
        <v>15192213.333333332</v>
      </c>
      <c r="H32" s="69">
        <f t="shared" si="5"/>
        <v>16437443.333333332</v>
      </c>
      <c r="I32" s="69">
        <f t="shared" si="5"/>
        <v>17682673.333333332</v>
      </c>
      <c r="J32" s="69">
        <f t="shared" si="5"/>
        <v>18927903.333333332</v>
      </c>
      <c r="K32" s="105" t="s">
        <v>13</v>
      </c>
    </row>
    <row r="33" spans="2:11" x14ac:dyDescent="0.25">
      <c r="B33" s="52" t="s">
        <v>38</v>
      </c>
      <c r="C33" s="22" t="s">
        <v>129</v>
      </c>
      <c r="D33" s="23"/>
      <c r="E33" s="24"/>
      <c r="F33" s="115">
        <f>+F32/F22*100</f>
        <v>29.649199263038543</v>
      </c>
      <c r="G33" s="115">
        <f t="shared" ref="G33:J33" si="6">+G32/G22*100</f>
        <v>32.29637188208617</v>
      </c>
      <c r="H33" s="115">
        <f t="shared" si="6"/>
        <v>34.943544501133786</v>
      </c>
      <c r="I33" s="115">
        <f t="shared" si="6"/>
        <v>37.590717120181402</v>
      </c>
      <c r="J33" s="115">
        <f t="shared" si="6"/>
        <v>40.237889739229018</v>
      </c>
    </row>
    <row r="34" spans="2:11" x14ac:dyDescent="0.25">
      <c r="B34" s="22" t="s">
        <v>13</v>
      </c>
      <c r="C34" s="22" t="s">
        <v>226</v>
      </c>
      <c r="D34" s="23"/>
      <c r="E34" s="24"/>
      <c r="F34" s="69">
        <f>SUM(F32:J32)/5</f>
        <v>16437443.333333332</v>
      </c>
    </row>
    <row r="35" spans="2:11" x14ac:dyDescent="0.25">
      <c r="B35" s="22"/>
      <c r="C35" s="22" t="s">
        <v>227</v>
      </c>
      <c r="D35" s="23"/>
      <c r="E35" s="24"/>
      <c r="F35" s="135">
        <f>SUM(F33:J33)/5</f>
        <v>34.943544501133786</v>
      </c>
      <c r="K35" s="105" t="s">
        <v>13</v>
      </c>
    </row>
  </sheetData>
  <mergeCells count="2">
    <mergeCell ref="C20:E20"/>
    <mergeCell ref="C8:E8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42"/>
  <sheetViews>
    <sheetView topLeftCell="A23" workbookViewId="0">
      <selection activeCell="E40" sqref="E40:E42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3.85546875" customWidth="1"/>
    <col min="8" max="8" width="13.7109375" customWidth="1"/>
    <col min="9" max="10" width="13.5703125" customWidth="1"/>
    <col min="11" max="11" width="13" customWidth="1"/>
    <col min="12" max="12" width="13.85546875" customWidth="1"/>
  </cols>
  <sheetData>
    <row r="2" spans="2:12" x14ac:dyDescent="0.25">
      <c r="B2" t="s">
        <v>130</v>
      </c>
    </row>
    <row r="3" spans="2:12" x14ac:dyDescent="0.25">
      <c r="B3" s="3" t="s">
        <v>131</v>
      </c>
      <c r="C3" s="3"/>
      <c r="D3" s="3"/>
      <c r="E3" s="3"/>
      <c r="F3" s="31" t="s">
        <v>13</v>
      </c>
    </row>
    <row r="4" spans="2:12" x14ac:dyDescent="0.25">
      <c r="B4" s="3" t="s">
        <v>1</v>
      </c>
      <c r="C4" s="3"/>
      <c r="D4" s="3"/>
      <c r="E4" s="3"/>
      <c r="F4" s="31" t="s">
        <v>12</v>
      </c>
      <c r="G4" t="s">
        <v>194</v>
      </c>
    </row>
    <row r="5" spans="2:12" x14ac:dyDescent="0.25">
      <c r="B5" s="3" t="s">
        <v>2</v>
      </c>
      <c r="C5" s="3"/>
      <c r="D5" s="3"/>
      <c r="E5" s="3"/>
      <c r="F5" s="31" t="s">
        <v>12</v>
      </c>
      <c r="G5" t="s">
        <v>218</v>
      </c>
    </row>
    <row r="7" spans="2:12" x14ac:dyDescent="0.25">
      <c r="B7" s="3" t="s">
        <v>131</v>
      </c>
      <c r="C7" s="3"/>
      <c r="D7" s="3"/>
      <c r="E7" s="3"/>
    </row>
    <row r="8" spans="2:12" x14ac:dyDescent="0.25">
      <c r="B8" s="30" t="s">
        <v>101</v>
      </c>
      <c r="C8" s="155" t="s">
        <v>23</v>
      </c>
      <c r="D8" s="156"/>
      <c r="E8" s="156"/>
      <c r="F8" s="159"/>
      <c r="G8" s="28" t="s">
        <v>134</v>
      </c>
      <c r="H8" s="30" t="s">
        <v>116</v>
      </c>
      <c r="I8" s="30" t="s">
        <v>117</v>
      </c>
      <c r="J8" s="28" t="s">
        <v>118</v>
      </c>
      <c r="K8" s="30" t="s">
        <v>119</v>
      </c>
      <c r="L8" s="30" t="s">
        <v>120</v>
      </c>
    </row>
    <row r="9" spans="2:12" x14ac:dyDescent="0.25">
      <c r="B9" s="121" t="s">
        <v>26</v>
      </c>
      <c r="C9" s="54" t="s">
        <v>132</v>
      </c>
      <c r="D9" s="122"/>
      <c r="E9" s="55"/>
      <c r="F9" s="16"/>
      <c r="G9" s="15"/>
      <c r="H9" s="11"/>
      <c r="I9" s="11"/>
      <c r="J9" s="15"/>
      <c r="K9" s="11"/>
      <c r="L9" s="11"/>
    </row>
    <row r="10" spans="2:12" x14ac:dyDescent="0.25">
      <c r="B10" s="50"/>
      <c r="C10" s="22" t="s">
        <v>44</v>
      </c>
      <c r="D10" s="35" t="s">
        <v>133</v>
      </c>
      <c r="E10" s="23"/>
      <c r="F10" s="16"/>
      <c r="G10" s="15">
        <v>0</v>
      </c>
      <c r="H10" s="116">
        <f>+'Tabel Lampiran 7'!F22</f>
        <v>47040000</v>
      </c>
      <c r="I10" s="116">
        <f>+'Tabel Lampiran 7'!G22</f>
        <v>47040000</v>
      </c>
      <c r="J10" s="116">
        <f>+'Tabel Lampiran 7'!H22</f>
        <v>47040000</v>
      </c>
      <c r="K10" s="116">
        <f>+'Tabel Lampiran 7'!I22</f>
        <v>47040000</v>
      </c>
      <c r="L10" s="116">
        <f>+'Tabel Lampiran 7'!J22</f>
        <v>47040000</v>
      </c>
    </row>
    <row r="11" spans="2:12" x14ac:dyDescent="0.25">
      <c r="B11" s="10"/>
      <c r="C11" s="22" t="s">
        <v>48</v>
      </c>
      <c r="D11" s="23" t="s">
        <v>189</v>
      </c>
      <c r="E11" s="23"/>
      <c r="F11" s="24"/>
      <c r="G11" s="23"/>
      <c r="H11" s="19"/>
      <c r="I11" s="19"/>
      <c r="J11" s="23"/>
      <c r="K11" s="19"/>
      <c r="L11" s="19"/>
    </row>
    <row r="12" spans="2:12" x14ac:dyDescent="0.25">
      <c r="B12" s="21"/>
      <c r="C12" s="17"/>
      <c r="D12" s="2" t="s">
        <v>26</v>
      </c>
      <c r="E12" t="s">
        <v>108</v>
      </c>
      <c r="F12" s="18"/>
      <c r="G12" s="105">
        <f>+'Tabel Lampiran 7'!F12</f>
        <v>56070000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</row>
    <row r="13" spans="2:12" x14ac:dyDescent="0.25">
      <c r="B13" s="10"/>
      <c r="C13" s="22"/>
      <c r="D13" s="35" t="s">
        <v>29</v>
      </c>
      <c r="E13" s="23" t="s">
        <v>104</v>
      </c>
      <c r="F13" s="24"/>
      <c r="G13" s="104">
        <f>+'Tabel Lampiran 7'!F9</f>
        <v>6191500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x14ac:dyDescent="0.25">
      <c r="B14" s="21"/>
      <c r="C14" s="17" t="s">
        <v>49</v>
      </c>
      <c r="D14" s="2" t="s">
        <v>190</v>
      </c>
      <c r="F14" s="18"/>
      <c r="H14" s="12"/>
      <c r="I14" s="12"/>
      <c r="K14" s="12"/>
      <c r="L14" s="12"/>
    </row>
    <row r="15" spans="2:12" x14ac:dyDescent="0.25">
      <c r="B15" s="10"/>
      <c r="C15" s="22"/>
      <c r="D15" s="35" t="s">
        <v>26</v>
      </c>
      <c r="E15" s="23" t="s">
        <v>108</v>
      </c>
      <c r="F15" s="24"/>
      <c r="G15" s="104">
        <f>+'Tabel Lampiran 6'!I20</f>
        <v>2653500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2:12" x14ac:dyDescent="0.25">
      <c r="B16" s="10"/>
      <c r="C16" s="22"/>
      <c r="D16" s="35" t="s">
        <v>29</v>
      </c>
      <c r="E16" s="23" t="s">
        <v>104</v>
      </c>
      <c r="F16" s="24"/>
      <c r="G16" s="69">
        <f>+'Tabel Lampiran 6'!I20</f>
        <v>2653500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x14ac:dyDescent="0.25">
      <c r="B17" s="21"/>
      <c r="C17" s="17" t="s">
        <v>87</v>
      </c>
      <c r="D17" s="2" t="s">
        <v>135</v>
      </c>
      <c r="F17" s="18"/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x14ac:dyDescent="0.25">
      <c r="B18" s="10"/>
      <c r="C18" s="22" t="s">
        <v>136</v>
      </c>
      <c r="D18" s="35"/>
      <c r="E18" s="23"/>
      <c r="F18" s="24"/>
      <c r="G18" s="67">
        <f>SUM(G10:G17)</f>
        <v>67568500</v>
      </c>
      <c r="H18" s="67">
        <f t="shared" ref="H18:L18" si="0">SUM(H10:H17)</f>
        <v>47040000</v>
      </c>
      <c r="I18" s="67">
        <f t="shared" si="0"/>
        <v>47040000</v>
      </c>
      <c r="J18" s="67">
        <f t="shared" si="0"/>
        <v>47040000</v>
      </c>
      <c r="K18" s="67">
        <f t="shared" si="0"/>
        <v>47040000</v>
      </c>
      <c r="L18" s="67">
        <f t="shared" si="0"/>
        <v>47040000</v>
      </c>
    </row>
    <row r="19" spans="2:12" x14ac:dyDescent="0.25">
      <c r="B19" s="10"/>
      <c r="C19" s="22" t="s">
        <v>137</v>
      </c>
      <c r="D19" s="35"/>
      <c r="E19" s="23"/>
      <c r="F19" s="24"/>
      <c r="G19" s="23">
        <v>0</v>
      </c>
      <c r="H19" s="69">
        <f>+H18</f>
        <v>47040000</v>
      </c>
      <c r="I19" s="69">
        <f t="shared" ref="I19:L19" si="1">+I18</f>
        <v>47040000</v>
      </c>
      <c r="J19" s="69">
        <f t="shared" si="1"/>
        <v>47040000</v>
      </c>
      <c r="K19" s="69">
        <f t="shared" si="1"/>
        <v>47040000</v>
      </c>
      <c r="L19" s="69">
        <f t="shared" si="1"/>
        <v>47040000</v>
      </c>
    </row>
    <row r="20" spans="2:12" x14ac:dyDescent="0.25">
      <c r="B20" s="123" t="s">
        <v>29</v>
      </c>
      <c r="C20" s="53" t="s">
        <v>138</v>
      </c>
      <c r="D20" s="3"/>
      <c r="E20" s="3"/>
      <c r="F20" s="18"/>
      <c r="H20" s="12"/>
      <c r="I20" s="12"/>
      <c r="K20" s="12"/>
      <c r="L20" s="12"/>
    </row>
    <row r="21" spans="2:12" x14ac:dyDescent="0.25">
      <c r="B21" s="10"/>
      <c r="C21" s="22" t="s">
        <v>105</v>
      </c>
      <c r="D21" s="23" t="s">
        <v>108</v>
      </c>
      <c r="E21" s="23"/>
      <c r="F21" s="24"/>
      <c r="G21" s="104">
        <f>+'Tabel Lampiran 4'!H26</f>
        <v>80100000</v>
      </c>
      <c r="H21" s="19"/>
      <c r="I21" s="19"/>
      <c r="J21" s="23"/>
      <c r="K21" s="19"/>
      <c r="L21" s="19"/>
    </row>
    <row r="22" spans="2:12" x14ac:dyDescent="0.25">
      <c r="B22" s="21"/>
      <c r="C22" s="17" t="s">
        <v>48</v>
      </c>
      <c r="D22" t="s">
        <v>124</v>
      </c>
      <c r="F22" s="18"/>
      <c r="G22">
        <v>0</v>
      </c>
      <c r="H22" s="106">
        <f>+'Tabel Lampiran 7'!F24</f>
        <v>6890000</v>
      </c>
      <c r="I22" s="106">
        <f>+'Tabel Lampiran 7'!G24</f>
        <v>6890000</v>
      </c>
      <c r="J22" s="106">
        <f>+'Tabel Lampiran 7'!H24</f>
        <v>6890000</v>
      </c>
      <c r="K22" s="106">
        <f>+'Tabel Lampiran 7'!I24</f>
        <v>6890000</v>
      </c>
      <c r="L22" s="106">
        <f>+'Tabel Lampiran 7'!J24</f>
        <v>6890000</v>
      </c>
    </row>
    <row r="23" spans="2:12" x14ac:dyDescent="0.25">
      <c r="B23" s="10"/>
      <c r="C23" s="22" t="s">
        <v>49</v>
      </c>
      <c r="D23" s="23" t="s">
        <v>125</v>
      </c>
      <c r="E23" s="23"/>
      <c r="F23" s="24"/>
      <c r="G23" s="23">
        <v>0</v>
      </c>
      <c r="H23" s="69">
        <f>+'Tabel Lampiran 7'!F26</f>
        <v>2800000</v>
      </c>
      <c r="I23" s="69">
        <f>+'Tabel Lampiran 7'!G26</f>
        <v>2800000</v>
      </c>
      <c r="J23" s="69">
        <f>+'Tabel Lampiran 7'!H26</f>
        <v>2800000</v>
      </c>
      <c r="K23" s="69">
        <f>+'Tabel Lampiran 7'!I26</f>
        <v>2800000</v>
      </c>
      <c r="L23" s="69">
        <f>+'Tabel Lampiran 7'!J26</f>
        <v>2800000</v>
      </c>
    </row>
    <row r="24" spans="2:12" x14ac:dyDescent="0.25">
      <c r="B24" s="21"/>
      <c r="C24" s="17" t="s">
        <v>87</v>
      </c>
      <c r="D24" t="s">
        <v>139</v>
      </c>
      <c r="F24" s="18"/>
      <c r="G24">
        <v>0</v>
      </c>
      <c r="H24" s="106">
        <f>+'Tabel Lampiran 7'!F16</f>
        <v>12452300</v>
      </c>
      <c r="I24" s="106">
        <f>+'Tabel Lampiran 7'!G16</f>
        <v>12452300</v>
      </c>
      <c r="J24" s="106">
        <f>+'Tabel Lampiran 7'!H16</f>
        <v>12452300</v>
      </c>
      <c r="K24" s="106">
        <f>+'Tabel Lampiran 7'!I16</f>
        <v>12452300</v>
      </c>
      <c r="L24" s="106">
        <f>+'Tabel Lampiran 7'!J16</f>
        <v>12452300</v>
      </c>
    </row>
    <row r="25" spans="2:12" x14ac:dyDescent="0.25">
      <c r="B25" s="10"/>
      <c r="C25" s="22" t="s">
        <v>88</v>
      </c>
      <c r="D25" s="23" t="s">
        <v>140</v>
      </c>
      <c r="E25" s="23"/>
      <c r="F25" s="24"/>
      <c r="G25" s="23">
        <v>0</v>
      </c>
      <c r="H25" s="69">
        <f>+'Tabel Lampiran 7'!F17</f>
        <v>6226150</v>
      </c>
      <c r="I25" s="69">
        <f>+'Tabel Lampiran 7'!G17</f>
        <v>4980920</v>
      </c>
      <c r="J25" s="69">
        <f>+'Tabel Lampiran 7'!H17</f>
        <v>3735690</v>
      </c>
      <c r="K25" s="69">
        <f>+'Tabel Lampiran 7'!I17</f>
        <v>2490460</v>
      </c>
      <c r="L25" s="69">
        <f>+'Tabel Lampiran 7'!J17</f>
        <v>1245230</v>
      </c>
    </row>
    <row r="26" spans="2:12" x14ac:dyDescent="0.25">
      <c r="B26" s="21"/>
      <c r="C26" s="17" t="s">
        <v>89</v>
      </c>
      <c r="D26" t="s">
        <v>141</v>
      </c>
      <c r="F26" s="18"/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</row>
    <row r="27" spans="2:12" x14ac:dyDescent="0.25">
      <c r="B27" s="10"/>
      <c r="C27" s="22" t="s">
        <v>91</v>
      </c>
      <c r="D27" s="23" t="s">
        <v>142</v>
      </c>
      <c r="E27" s="23"/>
      <c r="F27" s="24"/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</row>
    <row r="28" spans="2:12" x14ac:dyDescent="0.25">
      <c r="B28" s="21"/>
      <c r="C28" s="17" t="s">
        <v>143</v>
      </c>
      <c r="F28" s="18"/>
      <c r="G28" s="69">
        <f>SUM(G21:G27)</f>
        <v>80100000</v>
      </c>
      <c r="H28" s="69">
        <f t="shared" ref="H28:L28" si="2">SUM(H21:H27)</f>
        <v>28368450</v>
      </c>
      <c r="I28" s="69">
        <f t="shared" si="2"/>
        <v>27123220</v>
      </c>
      <c r="J28" s="69">
        <f t="shared" si="2"/>
        <v>25877990</v>
      </c>
      <c r="K28" s="69">
        <f t="shared" si="2"/>
        <v>24632760</v>
      </c>
      <c r="L28" s="69">
        <f t="shared" si="2"/>
        <v>23387530</v>
      </c>
    </row>
    <row r="29" spans="2:12" x14ac:dyDescent="0.25">
      <c r="B29" s="10"/>
      <c r="C29" s="22" t="s">
        <v>191</v>
      </c>
      <c r="D29" s="35"/>
      <c r="E29" s="23"/>
      <c r="F29" s="24"/>
      <c r="G29" s="104">
        <f>+G28</f>
        <v>80100000</v>
      </c>
      <c r="H29" s="69">
        <f>+H22+H23</f>
        <v>9690000</v>
      </c>
      <c r="I29" s="69">
        <f t="shared" ref="I29:L29" si="3">+I22+I23</f>
        <v>9690000</v>
      </c>
      <c r="J29" s="69">
        <f t="shared" si="3"/>
        <v>9690000</v>
      </c>
      <c r="K29" s="69">
        <f t="shared" si="3"/>
        <v>9690000</v>
      </c>
      <c r="L29" s="69">
        <f t="shared" si="3"/>
        <v>9690000</v>
      </c>
    </row>
    <row r="30" spans="2:12" x14ac:dyDescent="0.25">
      <c r="B30" s="10"/>
      <c r="C30" s="33" t="s">
        <v>144</v>
      </c>
      <c r="D30" s="23"/>
      <c r="F30" s="24"/>
      <c r="G30" s="23"/>
      <c r="H30" s="19"/>
      <c r="I30" s="19"/>
      <c r="J30" s="23"/>
      <c r="K30" s="19"/>
      <c r="L30" s="19"/>
    </row>
    <row r="31" spans="2:12" x14ac:dyDescent="0.25">
      <c r="B31" s="124" t="s">
        <v>31</v>
      </c>
      <c r="C31" s="47" t="s">
        <v>145</v>
      </c>
      <c r="D31" s="48"/>
      <c r="E31" s="48"/>
      <c r="F31" s="24"/>
      <c r="G31" s="69">
        <f>+G18-G28</f>
        <v>-12531500</v>
      </c>
      <c r="H31" s="69">
        <f t="shared" ref="H31:L31" si="4">+H18-H28</f>
        <v>18671550</v>
      </c>
      <c r="I31" s="69">
        <f t="shared" si="4"/>
        <v>19916780</v>
      </c>
      <c r="J31" s="69">
        <f t="shared" si="4"/>
        <v>21162010</v>
      </c>
      <c r="K31" s="69">
        <f t="shared" si="4"/>
        <v>22407240</v>
      </c>
      <c r="L31" s="69">
        <f t="shared" si="4"/>
        <v>23652470</v>
      </c>
    </row>
    <row r="32" spans="2:12" x14ac:dyDescent="0.25">
      <c r="B32" s="52"/>
      <c r="C32" s="22" t="s">
        <v>146</v>
      </c>
      <c r="D32" s="23"/>
      <c r="E32" s="23"/>
      <c r="F32" s="24"/>
      <c r="G32" s="104">
        <f>+G19-G29</f>
        <v>-80100000</v>
      </c>
      <c r="H32" s="69">
        <f>+H19-H29</f>
        <v>37350000</v>
      </c>
      <c r="I32" s="69">
        <f t="shared" ref="I32:L32" si="5">+I19-I29</f>
        <v>37350000</v>
      </c>
      <c r="J32" s="69">
        <f t="shared" si="5"/>
        <v>37350000</v>
      </c>
      <c r="K32" s="69">
        <f t="shared" si="5"/>
        <v>37350000</v>
      </c>
      <c r="L32" s="69">
        <f t="shared" si="5"/>
        <v>37350000</v>
      </c>
    </row>
    <row r="33" spans="2:12" x14ac:dyDescent="0.25">
      <c r="B33" s="52"/>
      <c r="C33" s="22" t="s">
        <v>147</v>
      </c>
      <c r="D33" s="23"/>
      <c r="E33" s="23"/>
      <c r="F33" s="24"/>
      <c r="G33" s="117">
        <f>1/(1+0.1)^0</f>
        <v>1</v>
      </c>
      <c r="H33" s="117">
        <f>1/(1+0.1)^1</f>
        <v>0.90909090909090906</v>
      </c>
      <c r="I33" s="117">
        <f>1/(1+0.1)^2</f>
        <v>0.82644628099173545</v>
      </c>
      <c r="J33" s="117">
        <f>1/(1+0.1)^3</f>
        <v>0.75131480090157754</v>
      </c>
      <c r="K33" s="117">
        <f>1/(1+0.1)^4</f>
        <v>0.68301345536507052</v>
      </c>
      <c r="L33" s="117">
        <f>1/(1+0.1)^5</f>
        <v>0.62092132305915493</v>
      </c>
    </row>
    <row r="34" spans="2:12" x14ac:dyDescent="0.25">
      <c r="B34" s="52"/>
      <c r="C34" s="22" t="s">
        <v>148</v>
      </c>
      <c r="D34" s="23"/>
      <c r="E34" s="23"/>
      <c r="F34" s="24"/>
      <c r="G34" s="69">
        <f>+G33*G32</f>
        <v>-80100000</v>
      </c>
      <c r="H34" s="69">
        <f t="shared" ref="H34:L34" si="6">+H33*H32</f>
        <v>33954545.454545453</v>
      </c>
      <c r="I34" s="69">
        <f t="shared" si="6"/>
        <v>30867768.59504132</v>
      </c>
      <c r="J34" s="69">
        <f t="shared" si="6"/>
        <v>28061607.813673921</v>
      </c>
      <c r="K34" s="69">
        <f t="shared" si="6"/>
        <v>25510552.557885382</v>
      </c>
      <c r="L34" s="69">
        <f t="shared" si="6"/>
        <v>23191411.416259438</v>
      </c>
    </row>
    <row r="35" spans="2:12" x14ac:dyDescent="0.25">
      <c r="B35" s="124" t="s">
        <v>35</v>
      </c>
      <c r="C35" s="47" t="s">
        <v>149</v>
      </c>
      <c r="D35" s="48"/>
      <c r="E35" s="48"/>
      <c r="F35" s="24"/>
      <c r="G35" s="104">
        <f>+G34</f>
        <v>-80100000</v>
      </c>
      <c r="H35" s="69">
        <f>+G35+H34</f>
        <v>-46145454.545454547</v>
      </c>
      <c r="I35" s="69">
        <f>+H35+I34</f>
        <v>-15277685.950413227</v>
      </c>
      <c r="J35" s="69">
        <f t="shared" ref="J35:L35" si="7">+I35+J34</f>
        <v>12783921.863260694</v>
      </c>
      <c r="K35" s="69">
        <f t="shared" si="7"/>
        <v>38294474.42114608</v>
      </c>
      <c r="L35" s="69">
        <f t="shared" si="7"/>
        <v>61485885.837405518</v>
      </c>
    </row>
    <row r="36" spans="2:12" x14ac:dyDescent="0.25">
      <c r="B36" s="127"/>
      <c r="C36" s="55"/>
      <c r="D36" s="55"/>
      <c r="E36" s="55"/>
      <c r="F36" s="16"/>
      <c r="G36" s="126"/>
      <c r="H36" s="105"/>
      <c r="I36" s="105"/>
      <c r="J36" s="105"/>
      <c r="K36" s="105"/>
      <c r="L36" s="105"/>
    </row>
    <row r="37" spans="2:12" x14ac:dyDescent="0.25">
      <c r="B37" s="128" t="s">
        <v>193</v>
      </c>
      <c r="C37" s="42"/>
      <c r="D37" s="42"/>
      <c r="E37" s="42"/>
      <c r="F37" s="32"/>
      <c r="G37" s="125"/>
      <c r="H37" s="105"/>
      <c r="I37" s="105"/>
      <c r="J37" s="105"/>
      <c r="K37" s="105"/>
      <c r="L37" s="105"/>
    </row>
    <row r="38" spans="2:12" x14ac:dyDescent="0.25">
      <c r="B38" s="51" t="s">
        <v>44</v>
      </c>
      <c r="C38" t="s">
        <v>150</v>
      </c>
      <c r="E38" s="23"/>
      <c r="F38" s="18"/>
      <c r="G38" s="69">
        <f>+L35</f>
        <v>61485885.837405518</v>
      </c>
    </row>
    <row r="39" spans="2:12" x14ac:dyDescent="0.25">
      <c r="B39" s="10" t="s">
        <v>48</v>
      </c>
      <c r="C39" s="56" t="s">
        <v>151</v>
      </c>
      <c r="D39" s="23"/>
      <c r="E39" s="23"/>
      <c r="F39" s="24"/>
      <c r="G39" s="118">
        <f>IRR(G32:L32,0.1)</f>
        <v>0.36949729822999577</v>
      </c>
    </row>
    <row r="40" spans="2:12" x14ac:dyDescent="0.25">
      <c r="B40" s="21" t="s">
        <v>49</v>
      </c>
      <c r="C40" t="s">
        <v>152</v>
      </c>
      <c r="E40" s="23"/>
      <c r="F40" s="18"/>
      <c r="G40" s="117">
        <f>SUM(G18:L18)/SUM(G28:L28)</f>
        <v>1.445265035387139</v>
      </c>
    </row>
    <row r="41" spans="2:12" x14ac:dyDescent="0.25">
      <c r="B41" s="10" t="s">
        <v>87</v>
      </c>
      <c r="C41" s="23" t="s">
        <v>153</v>
      </c>
      <c r="D41" s="23"/>
      <c r="E41" s="23"/>
      <c r="F41" s="24"/>
      <c r="G41" s="19">
        <v>5</v>
      </c>
    </row>
    <row r="42" spans="2:12" x14ac:dyDescent="0.25">
      <c r="C42" t="s">
        <v>13</v>
      </c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6282298456100</cp:lastModifiedBy>
  <dcterms:created xsi:type="dcterms:W3CDTF">2021-08-06T07:55:48Z</dcterms:created>
  <dcterms:modified xsi:type="dcterms:W3CDTF">2025-10-30T13:56:57Z</dcterms:modified>
</cp:coreProperties>
</file>