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/>
  </bookViews>
  <sheets>
    <sheet name="Tabel Lampiran 1" sheetId="1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7" l="1"/>
  <c r="I27" i="7"/>
  <c r="H27" i="7"/>
  <c r="G27" i="7"/>
  <c r="F27" i="7"/>
  <c r="F25" i="7"/>
  <c r="F26" i="7"/>
  <c r="I13" i="6"/>
  <c r="I12" i="6"/>
  <c r="H13" i="6"/>
  <c r="H12" i="6"/>
  <c r="H11" i="6"/>
  <c r="H10" i="6"/>
  <c r="J24" i="4"/>
  <c r="H24" i="4"/>
  <c r="I17" i="5"/>
  <c r="J17" i="5" s="1"/>
  <c r="I16" i="5"/>
  <c r="J16" i="5" s="1"/>
  <c r="I18" i="5"/>
  <c r="J18" i="5" s="1"/>
  <c r="H10" i="1"/>
  <c r="Q10" i="1" l="1"/>
  <c r="R10" i="1" s="1"/>
  <c r="F16" i="3"/>
  <c r="H17" i="4"/>
  <c r="J17" i="4" s="1"/>
  <c r="F19" i="3"/>
  <c r="L34" i="8" l="1"/>
  <c r="K34" i="8"/>
  <c r="J34" i="8"/>
  <c r="I34" i="8"/>
  <c r="H34" i="8"/>
  <c r="G34" i="8"/>
  <c r="F25" i="6"/>
  <c r="F24" i="6"/>
  <c r="F21" i="6"/>
  <c r="F20" i="6"/>
  <c r="I15" i="5"/>
  <c r="J15" i="5" l="1"/>
  <c r="J19" i="5" s="1"/>
  <c r="I19" i="5"/>
  <c r="I11" i="6"/>
  <c r="G26" i="7" l="1"/>
  <c r="I24" i="8" l="1"/>
  <c r="H26" i="7"/>
  <c r="J24" i="8" s="1"/>
  <c r="H24" i="8"/>
  <c r="I26" i="7" l="1"/>
  <c r="J26" i="7" s="1"/>
  <c r="L24" i="8" s="1"/>
  <c r="K24" i="8" l="1"/>
  <c r="I11" i="5"/>
  <c r="J11" i="5" s="1"/>
  <c r="I12" i="5" l="1"/>
  <c r="J12" i="5"/>
  <c r="I10" i="6"/>
  <c r="H23" i="4"/>
  <c r="H21" i="4"/>
  <c r="J21" i="4" s="1"/>
  <c r="H20" i="4"/>
  <c r="J20" i="4" s="1"/>
  <c r="H19" i="4"/>
  <c r="J19" i="4" s="1"/>
  <c r="H18" i="4"/>
  <c r="H14" i="4"/>
  <c r="H11" i="4"/>
  <c r="J11" i="4" s="1"/>
  <c r="J12" i="4" s="1"/>
  <c r="G12" i="2"/>
  <c r="I13" i="5" s="1"/>
  <c r="R12" i="1"/>
  <c r="F23" i="7" s="1"/>
  <c r="F32" i="7" s="1"/>
  <c r="J13" i="5" l="1"/>
  <c r="J20" i="5" s="1"/>
  <c r="I20" i="5"/>
  <c r="J23" i="4"/>
  <c r="J14" i="4"/>
  <c r="J15" i="4" s="1"/>
  <c r="H15" i="4"/>
  <c r="H12" i="4"/>
  <c r="J18" i="4"/>
  <c r="J22" i="4" s="1"/>
  <c r="H22" i="4"/>
  <c r="G23" i="7"/>
  <c r="G32" i="7" s="1"/>
  <c r="H11" i="8"/>
  <c r="H19" i="8" s="1"/>
  <c r="F28" i="7" l="1"/>
  <c r="G28" i="7" s="1"/>
  <c r="H28" i="7" s="1"/>
  <c r="I28" i="7" s="1"/>
  <c r="J28" i="7" s="1"/>
  <c r="H21" i="6"/>
  <c r="I21" i="6" s="1"/>
  <c r="G17" i="8" s="1"/>
  <c r="H20" i="6"/>
  <c r="I20" i="6" s="1"/>
  <c r="F10" i="7" s="1"/>
  <c r="H15" i="6"/>
  <c r="H20" i="8"/>
  <c r="H23" i="7"/>
  <c r="H32" i="7" s="1"/>
  <c r="I11" i="8"/>
  <c r="I19" i="8" s="1"/>
  <c r="G16" i="8" l="1"/>
  <c r="I22" i="6"/>
  <c r="G25" i="7"/>
  <c r="H23" i="8"/>
  <c r="H30" i="8" s="1"/>
  <c r="H33" i="8" s="1"/>
  <c r="H35" i="8" s="1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I23" i="8" l="1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I36" i="8" l="1"/>
  <c r="J23" i="8"/>
  <c r="J30" i="8" s="1"/>
  <c r="J33" i="8" s="1"/>
  <c r="J35" i="8" s="1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F30" i="7" l="1"/>
  <c r="F31" i="7" s="1"/>
  <c r="F33" i="7" s="1"/>
  <c r="J36" i="8"/>
  <c r="K23" i="8"/>
  <c r="K30" i="8" s="1"/>
  <c r="K33" i="8" s="1"/>
  <c r="K35" i="8" s="1"/>
  <c r="J25" i="7"/>
  <c r="L23" i="8" s="1"/>
  <c r="L30" i="8" s="1"/>
  <c r="H12" i="7"/>
  <c r="I10" i="7"/>
  <c r="H13" i="7"/>
  <c r="G15" i="7"/>
  <c r="G18" i="7" s="1"/>
  <c r="H14" i="7"/>
  <c r="G17" i="7"/>
  <c r="I25" i="8" s="1"/>
  <c r="L20" i="8"/>
  <c r="F34" i="7" l="1"/>
  <c r="K36" i="8"/>
  <c r="L33" i="8"/>
  <c r="L35" i="8" s="1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9" i="8" s="1"/>
  <c r="G40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1" i="8"/>
</calcChain>
</file>

<file path=xl/sharedStrings.xml><?xml version="1.0" encoding="utf-8"?>
<sst xmlns="http://schemas.openxmlformats.org/spreadsheetml/2006/main" count="470" uniqueCount="212">
  <si>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</si>
  <si>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</si>
  <si>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</si>
  <si>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</si>
  <si>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</si>
  <si>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</si>
  <si>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</si>
  <si>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</si>
  <si>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</si>
  <si>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</si>
  <si>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</si>
  <si>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</si>
  <si>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</si>
  <si>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</si>
  <si>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</si>
  <si>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</si>
  <si>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</si>
  <si>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</si>
  <si>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</si>
  <si>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</si>
  <si>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</si>
  <si>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</si>
  <si>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</si>
  <si>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</si>
  <si>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</si>
  <si>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</si>
  <si>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</si>
  <si>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</si>
  <si>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</si>
  <si>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</si>
  <si>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</si>
  <si>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</si>
  <si>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</si>
  <si>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</si>
  <si>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</si>
  <si>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</si>
  <si>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</si>
  <si>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</si>
  <si>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</si>
  <si>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</si>
  <si>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</si>
  <si>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</si>
  <si>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</si>
  <si>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</si>
  <si>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</si>
  <si>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</si>
  <si>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</si>
  <si>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</si>
  <si>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</si>
  <si>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</si>
  <si>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</si>
  <si>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</si>
  <si>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</si>
  <si>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</si>
  <si>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</si>
  <si>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</si>
  <si>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</si>
  <si>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</si>
  <si>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</si>
  <si>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</si>
  <si>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</si>
  <si>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</si>
  <si>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</si>
  <si>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</si>
  <si>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</si>
  <si>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</si>
  <si>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</si>
  <si>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</si>
  <si>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</si>
  <si>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Paket</t>
  </si>
  <si>
    <t>m2</t>
  </si>
  <si>
    <t>Bangunan :</t>
  </si>
  <si>
    <t>Kendaraan roda dua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</si>
  <si>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</si>
  <si>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</si>
  <si>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</si>
  <si>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</si>
  <si>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</si>
  <si>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</si>
  <si>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</si>
  <si>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</si>
  <si>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</si>
  <si>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</si>
  <si>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</si>
  <si>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</si>
  <si>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</si>
  <si>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</si>
  <si>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</si>
  <si>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</si>
  <si>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</si>
  <si>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</si>
  <si>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</si>
  <si>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</si>
  <si>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</si>
  <si>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</si>
  <si>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</si>
  <si>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</si>
  <si>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</si>
  <si>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</si>
  <si>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</si>
  <si>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</si>
  <si>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</si>
  <si>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</si>
  <si>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</si>
  <si>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</si>
  <si>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</si>
  <si>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</si>
  <si>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</si>
  <si>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</si>
  <si>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</si>
  <si>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</si>
  <si>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</si>
  <si>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</si>
  <si>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</si>
  <si>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</si>
  <si>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</si>
  <si>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</si>
  <si>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</si>
  <si>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</si>
  <si>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</si>
  <si>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</si>
  <si>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</si>
  <si>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</si>
  <si>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</si>
  <si>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</si>
  <si>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</si>
  <si>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</si>
  <si>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</si>
  <si>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</si>
  <si>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</si>
  <si>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</si>
  <si>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</si>
  <si>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</si>
  <si>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</si>
  <si>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</si>
  <si>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</si>
  <si>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</si>
  <si>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</si>
  <si>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</si>
  <si>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</si>
  <si>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</si>
  <si>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</si>
  <si>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</si>
  <si>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</si>
  <si>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</si>
  <si>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</si>
  <si>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</si>
  <si>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</si>
  <si>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</si>
  <si>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</si>
  <si>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</si>
  <si>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</si>
  <si>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</si>
  <si>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</si>
  <si>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</si>
  <si>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</si>
  <si>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</si>
  <si>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</si>
  <si>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Unit</t>
  </si>
  <si>
    <t>Total 4</t>
  </si>
  <si>
    <t>Peralatan :</t>
  </si>
  <si>
    <t>Buah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</si>
  <si>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</si>
  <si>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</si>
  <si>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</si>
  <si>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</si>
  <si>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</si>
  <si>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</si>
  <si>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</si>
  <si>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</si>
  <si>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</si>
  <si>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</si>
  <si>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</si>
  <si>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</si>
  <si>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</si>
  <si>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</si>
  <si>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</si>
  <si>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</si>
  <si>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</si>
  <si>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Seleksi/sortasi biji kopi</t>
  </si>
  <si>
    <t>Penggilingan kopi</t>
  </si>
  <si>
    <t>Sangrai biji kopi</t>
  </si>
  <si>
    <t>Pengemasan</t>
  </si>
  <si>
    <t>SKALA USAHA</t>
  </si>
  <si>
    <t>-  Gunting</t>
  </si>
  <si>
    <t>-  Karung</t>
  </si>
  <si>
    <t>-  Tempat sampah</t>
  </si>
  <si>
    <t>-  Sarung tangan</t>
  </si>
  <si>
    <t>Jasa roasting</t>
  </si>
  <si>
    <t>5 kg Biji Kopi/proses produksi</t>
  </si>
  <si>
    <t>Rata-rata penjualan/Siklus Produksi (1 hari)</t>
  </si>
  <si>
    <t xml:space="preserve">Usaha Jasa Penggilingan Biji Kopi </t>
  </si>
  <si>
    <t>Jasa</t>
  </si>
  <si>
    <t>Total 2</t>
  </si>
  <si>
    <t>-  Tempat Produksi</t>
  </si>
  <si>
    <t>-  Penggiling Kopi (kapasitas 5 kg/proses)</t>
  </si>
  <si>
    <t>BBM</t>
  </si>
  <si>
    <t>Ltr</t>
  </si>
  <si>
    <t>Biaya Overhead</t>
  </si>
  <si>
    <t>Operasional  kendaraan</t>
  </si>
  <si>
    <t>Perawatan mesin</t>
  </si>
  <si>
    <t>Total Biaya Overhead</t>
  </si>
  <si>
    <t xml:space="preserve">Total Biaya </t>
  </si>
  <si>
    <t>-  Wajan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</si>
  <si>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</si>
  <si>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</si>
  <si>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</si>
  <si>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</si>
  <si>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</si>
  <si>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</si>
  <si>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</si>
  <si>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Lamanya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</si>
</sst>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1" fontId="0" fillId="0" borderId="2" xfId="0" applyNumberFormat="1" applyBorder="1"/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3"/>
  <sheetViews>
    <sheetView tabSelected="1" workbookViewId="0">
      <selection activeCell="K11" sqref="K11:L11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0.7265625" customWidth="1"/>
    <col min="14" max="15" width="9.1796875" hidden="1" customWidth="1"/>
    <col min="16" max="16" width="14.54296875" customWidth="1"/>
    <col min="17" max="17" width="12.453125" customWidth="1"/>
    <col min="18" max="18" width="13.5429687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192</v>
      </c>
    </row>
    <row r="4" spans="2:29" x14ac:dyDescent="0.25">
      <c r="B4" t="s">
        <v>2</v>
      </c>
      <c r="D4" s="72" t="s">
        <v>12</v>
      </c>
      <c r="H4" t="s">
        <v>191</v>
      </c>
    </row>
    <row r="5" spans="2:29" x14ac:dyDescent="0.25">
      <c r="B5" t="s">
        <v>183</v>
      </c>
      <c r="D5" s="72" t="s">
        <v>12</v>
      </c>
      <c r="H5" t="s">
        <v>189</v>
      </c>
    </row>
    <row r="7" spans="2:29" x14ac:dyDescent="0.25">
      <c r="B7" s="157" t="s">
        <v>190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9" t="s">
        <v>3</v>
      </c>
      <c r="N7" s="161"/>
      <c r="O7" s="161"/>
      <c r="P7" s="161"/>
      <c r="Q7" s="161"/>
      <c r="R7" s="160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7" t="s">
        <v>5</v>
      </c>
      <c r="D8" s="157"/>
      <c r="E8" s="157"/>
      <c r="F8" s="157"/>
      <c r="G8" s="157"/>
      <c r="H8" s="130" t="s">
        <v>6</v>
      </c>
      <c r="I8" s="158" t="s">
        <v>7</v>
      </c>
      <c r="J8" s="158"/>
      <c r="K8" s="159" t="s">
        <v>8</v>
      </c>
      <c r="L8" s="160"/>
      <c r="M8" s="159" t="s">
        <v>147</v>
      </c>
      <c r="N8" s="161"/>
      <c r="O8" s="161"/>
      <c r="P8" s="130" t="s">
        <v>9</v>
      </c>
      <c r="Q8" s="131" t="s">
        <v>14</v>
      </c>
      <c r="R8" s="130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21"/>
      <c r="D9" s="122"/>
      <c r="E9" s="122"/>
      <c r="F9" s="122"/>
      <c r="G9" s="122"/>
      <c r="H9" s="118"/>
      <c r="I9" s="100"/>
      <c r="J9" s="101"/>
      <c r="K9" s="118"/>
      <c r="L9" s="119"/>
      <c r="M9" s="118"/>
      <c r="N9" s="123"/>
      <c r="O9" s="123"/>
      <c r="P9" s="124"/>
      <c r="Q9" s="123"/>
      <c r="R9" s="124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6" t="s">
        <v>188</v>
      </c>
      <c r="D10" s="127"/>
      <c r="E10" s="127"/>
      <c r="F10" s="127"/>
      <c r="G10" s="127"/>
      <c r="H10" s="125">
        <f>30*5</f>
        <v>150</v>
      </c>
      <c r="I10" s="152" t="s">
        <v>146</v>
      </c>
      <c r="J10" s="153"/>
      <c r="K10" s="125">
        <v>14000</v>
      </c>
      <c r="L10" s="109"/>
      <c r="M10" s="140" t="s">
        <v>149</v>
      </c>
      <c r="N10" s="99"/>
      <c r="O10" s="99"/>
      <c r="P10" s="120" t="s">
        <v>149</v>
      </c>
      <c r="Q10" s="141">
        <f>+H10*K10</f>
        <v>2100000</v>
      </c>
      <c r="R10" s="129">
        <f>12*Q10</f>
        <v>25200000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6"/>
      <c r="D11" s="127"/>
      <c r="E11" s="127"/>
      <c r="F11" s="127"/>
      <c r="G11" s="127"/>
      <c r="H11" s="128"/>
      <c r="I11" s="152"/>
      <c r="J11" s="153"/>
      <c r="K11" s="154"/>
      <c r="L11" s="155"/>
      <c r="M11" s="154"/>
      <c r="N11" s="156"/>
      <c r="O11" s="156"/>
      <c r="P11" s="124"/>
      <c r="Q11" s="123"/>
      <c r="R11" s="102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6" t="s">
        <v>11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2"/>
      <c r="R12" s="129">
        <f>+R10</f>
        <v>25200000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9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"/>
  <sheetViews>
    <sheetView workbookViewId="0">
      <selection activeCell="A2" sqref="A2"/>
    </sheetView>
  </sheetViews>
  <sheetFormatPr defaultRowHeight="14.5" x14ac:dyDescent="0.35"/>
  <cols>
    <col min="2" max="2" width="5.54296875" customWidth="1"/>
    <col min="3" max="3" width="25.1796875" customWidth="1"/>
    <col min="4" max="4" width="2.54296875" customWidth="1"/>
    <col min="5" max="6" width="9.1796875" hidden="1" customWidth="1"/>
    <col min="7" max="7" width="13.54296875" customWidth="1"/>
    <col min="8" max="8" width="16.816406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9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90" t="s">
        <v>12</v>
      </c>
      <c r="G3" t="s">
        <v>192</v>
      </c>
      <c r="Q3" s="1"/>
      <c r="R3" s="1"/>
    </row>
    <row r="4" spans="2:18" x14ac:dyDescent="0.25">
      <c r="B4" s="1" t="s">
        <v>2</v>
      </c>
      <c r="C4" s="1"/>
      <c r="D4" s="90" t="s">
        <v>12</v>
      </c>
      <c r="G4" t="s">
        <v>191</v>
      </c>
      <c r="Q4" s="1"/>
      <c r="R4" s="1"/>
    </row>
    <row r="5" spans="2:18" x14ac:dyDescent="0.25">
      <c r="B5" s="1" t="s">
        <v>183</v>
      </c>
      <c r="C5" s="1"/>
      <c r="D5" s="90" t="s">
        <v>12</v>
      </c>
      <c r="G5" t="s">
        <v>189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91" t="s">
        <v>4</v>
      </c>
      <c r="C7" s="132" t="s">
        <v>18</v>
      </c>
      <c r="D7" s="133"/>
      <c r="F7" s="133"/>
      <c r="G7" s="92" t="s">
        <v>211</v>
      </c>
      <c r="H7" s="93" t="s">
        <v>7</v>
      </c>
    </row>
    <row r="8" spans="2:18" x14ac:dyDescent="0.25">
      <c r="B8" s="84" t="s">
        <v>25</v>
      </c>
      <c r="C8" s="75" t="s">
        <v>179</v>
      </c>
      <c r="D8" s="76"/>
      <c r="F8" s="76"/>
      <c r="G8" s="82">
        <v>0.25</v>
      </c>
      <c r="H8" s="134" t="s">
        <v>80</v>
      </c>
    </row>
    <row r="9" spans="2:18" x14ac:dyDescent="0.25">
      <c r="B9" s="85" t="s">
        <v>28</v>
      </c>
      <c r="C9" s="77" t="s">
        <v>181</v>
      </c>
      <c r="D9" s="78"/>
      <c r="F9" s="78"/>
      <c r="G9" s="83">
        <v>0.25</v>
      </c>
      <c r="H9" s="130" t="s">
        <v>80</v>
      </c>
    </row>
    <row r="10" spans="2:18" x14ac:dyDescent="0.25">
      <c r="B10" s="145" t="s">
        <v>30</v>
      </c>
      <c r="C10" s="79" t="s">
        <v>180</v>
      </c>
      <c r="D10" s="143"/>
      <c r="E10" s="103"/>
      <c r="F10" s="143"/>
      <c r="G10" s="144">
        <v>0.25</v>
      </c>
      <c r="H10" s="142" t="s">
        <v>80</v>
      </c>
    </row>
    <row r="11" spans="2:18" x14ac:dyDescent="0.25">
      <c r="B11" s="84" t="s">
        <v>34</v>
      </c>
      <c r="C11" s="77" t="s">
        <v>182</v>
      </c>
      <c r="D11" s="80"/>
      <c r="F11" s="80"/>
      <c r="G11" s="82">
        <v>0.25</v>
      </c>
      <c r="H11" s="134" t="s">
        <v>80</v>
      </c>
    </row>
    <row r="12" spans="2:18" x14ac:dyDescent="0.25">
      <c r="B12" s="87"/>
      <c r="C12" s="88" t="s">
        <v>11</v>
      </c>
      <c r="D12" s="81"/>
      <c r="F12" s="81"/>
      <c r="G12" s="149">
        <f>SUM(G8:G11)</f>
        <v>1</v>
      </c>
      <c r="H12" s="135" t="s">
        <v>80</v>
      </c>
    </row>
    <row r="13" spans="2:18" x14ac:dyDescent="0.25">
      <c r="B13" t="s">
        <v>148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topLeftCell="A2" workbookViewId="0">
      <selection activeCell="I16" sqref="I16"/>
    </sheetView>
  </sheetViews>
  <sheetFormatPr defaultRowHeight="14.5" x14ac:dyDescent="0.35"/>
  <cols>
    <col min="2" max="2" width="5.54296875" customWidth="1"/>
    <col min="3" max="3" width="4.54296875" customWidth="1"/>
    <col min="4" max="4" width="27.26953125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192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191</v>
      </c>
    </row>
    <row r="6" spans="2:7" ht="15.75" x14ac:dyDescent="0.25">
      <c r="B6" s="6" t="s">
        <v>183</v>
      </c>
      <c r="C6" s="6"/>
      <c r="D6" s="6"/>
      <c r="E6" s="65" t="s">
        <v>12</v>
      </c>
      <c r="F6" t="s">
        <v>189</v>
      </c>
    </row>
    <row r="8" spans="2:7" ht="15.75" x14ac:dyDescent="0.25">
      <c r="B8" s="27" t="s">
        <v>21</v>
      </c>
      <c r="C8" s="136" t="s">
        <v>22</v>
      </c>
      <c r="D8" s="137"/>
      <c r="E8" s="137"/>
      <c r="F8" s="30" t="s">
        <v>23</v>
      </c>
      <c r="G8" s="30" t="s">
        <v>24</v>
      </c>
    </row>
    <row r="9" spans="2:7" ht="15" x14ac:dyDescent="0.25">
      <c r="B9" s="10" t="s">
        <v>25</v>
      </c>
      <c r="C9" s="13" t="s">
        <v>26</v>
      </c>
      <c r="D9" s="14"/>
      <c r="E9" s="14"/>
      <c r="F9" s="10">
        <v>5</v>
      </c>
      <c r="G9" s="25" t="s">
        <v>27</v>
      </c>
    </row>
    <row r="10" spans="2:7" ht="15" x14ac:dyDescent="0.25">
      <c r="B10" s="26" t="s">
        <v>28</v>
      </c>
      <c r="C10" s="22" t="s">
        <v>31</v>
      </c>
      <c r="D10" s="23"/>
      <c r="E10" s="23"/>
      <c r="F10" s="19">
        <v>12</v>
      </c>
      <c r="G10" s="9" t="s">
        <v>29</v>
      </c>
    </row>
    <row r="11" spans="2:7" ht="15" x14ac:dyDescent="0.25">
      <c r="B11" s="20" t="s">
        <v>30</v>
      </c>
      <c r="C11" s="16" t="s">
        <v>32</v>
      </c>
      <c r="D11" s="17"/>
      <c r="E11" s="17"/>
      <c r="F11" s="11">
        <v>25</v>
      </c>
      <c r="G11" s="21" t="s">
        <v>33</v>
      </c>
    </row>
    <row r="12" spans="2:7" ht="15" x14ac:dyDescent="0.25">
      <c r="B12" s="26" t="s">
        <v>34</v>
      </c>
      <c r="C12" s="22" t="s">
        <v>151</v>
      </c>
      <c r="D12" s="23"/>
      <c r="E12" s="23"/>
      <c r="F12" s="66">
        <v>1</v>
      </c>
      <c r="G12" s="9" t="s">
        <v>29</v>
      </c>
    </row>
    <row r="13" spans="2:7" ht="15" x14ac:dyDescent="0.25">
      <c r="B13" s="26" t="s">
        <v>35</v>
      </c>
      <c r="C13" s="22" t="s">
        <v>150</v>
      </c>
      <c r="D13" s="23"/>
      <c r="E13" s="23"/>
      <c r="F13" s="19">
        <v>12</v>
      </c>
      <c r="G13" s="9" t="s">
        <v>36</v>
      </c>
    </row>
    <row r="14" spans="2:7" ht="15" x14ac:dyDescent="0.25">
      <c r="B14" s="68" t="s">
        <v>37</v>
      </c>
      <c r="C14" s="13" t="s">
        <v>152</v>
      </c>
      <c r="D14" s="14"/>
      <c r="E14" s="14"/>
      <c r="F14" s="10"/>
      <c r="G14" s="10"/>
    </row>
    <row r="15" spans="2:7" ht="15" x14ac:dyDescent="0.25">
      <c r="B15" s="11"/>
      <c r="C15" s="30" t="s">
        <v>4</v>
      </c>
      <c r="D15" s="162" t="s">
        <v>38</v>
      </c>
      <c r="E15" s="163"/>
      <c r="F15" s="30" t="s">
        <v>11</v>
      </c>
      <c r="G15" s="30" t="s">
        <v>7</v>
      </c>
    </row>
    <row r="16" spans="2:7" ht="15" x14ac:dyDescent="0.25">
      <c r="B16" s="11"/>
      <c r="C16" s="26" t="s">
        <v>25</v>
      </c>
      <c r="D16" s="126" t="s">
        <v>188</v>
      </c>
      <c r="E16" s="23"/>
      <c r="F16" s="67">
        <f>+'Tabel Lampiran 1'!H10</f>
        <v>150</v>
      </c>
      <c r="G16" s="9" t="s">
        <v>153</v>
      </c>
    </row>
    <row r="17" spans="2:7" ht="15" x14ac:dyDescent="0.25">
      <c r="B17" s="11" t="s">
        <v>39</v>
      </c>
      <c r="C17" s="16" t="s">
        <v>40</v>
      </c>
      <c r="D17" s="17"/>
      <c r="E17" s="17"/>
      <c r="F17" s="11"/>
      <c r="G17" s="11"/>
    </row>
    <row r="18" spans="2:7" ht="15" x14ac:dyDescent="0.25">
      <c r="B18" s="11"/>
      <c r="C18" s="30" t="s">
        <v>4</v>
      </c>
      <c r="D18" s="163" t="s">
        <v>38</v>
      </c>
      <c r="E18" s="163"/>
      <c r="F18" s="30" t="s">
        <v>8</v>
      </c>
      <c r="G18" s="30" t="s">
        <v>7</v>
      </c>
    </row>
    <row r="19" spans="2:7" ht="15" x14ac:dyDescent="0.25">
      <c r="B19" s="11"/>
      <c r="C19" s="26" t="s">
        <v>25</v>
      </c>
      <c r="D19" s="126" t="s">
        <v>188</v>
      </c>
      <c r="E19" s="23"/>
      <c r="F19" s="67">
        <f>+'Tabel Lampiran 1'!K10</f>
        <v>14000</v>
      </c>
      <c r="G19" s="9" t="s">
        <v>154</v>
      </c>
    </row>
    <row r="20" spans="2:7" ht="15" x14ac:dyDescent="0.25">
      <c r="B20" s="10" t="s">
        <v>41</v>
      </c>
      <c r="C20" s="16" t="s">
        <v>42</v>
      </c>
      <c r="D20" s="17"/>
      <c r="E20" s="17"/>
      <c r="F20" s="11"/>
      <c r="G20" s="11"/>
    </row>
    <row r="21" spans="2:7" ht="15" x14ac:dyDescent="0.25">
      <c r="B21" s="11"/>
      <c r="C21" s="22" t="s">
        <v>43</v>
      </c>
      <c r="D21" s="23" t="s">
        <v>44</v>
      </c>
      <c r="E21" s="23"/>
      <c r="F21" s="19">
        <v>100</v>
      </c>
      <c r="G21" s="9" t="s">
        <v>49</v>
      </c>
    </row>
    <row r="22" spans="2:7" ht="15" x14ac:dyDescent="0.25">
      <c r="B22" s="11"/>
      <c r="C22" s="16" t="s">
        <v>47</v>
      </c>
      <c r="D22" s="17" t="s">
        <v>45</v>
      </c>
      <c r="E22" s="17"/>
      <c r="F22" s="11">
        <v>100</v>
      </c>
      <c r="G22" s="9" t="s">
        <v>49</v>
      </c>
    </row>
    <row r="23" spans="2:7" ht="15" x14ac:dyDescent="0.25">
      <c r="B23" s="12"/>
      <c r="C23" s="22" t="s">
        <v>48</v>
      </c>
      <c r="D23" s="23" t="s">
        <v>46</v>
      </c>
      <c r="E23" s="23"/>
      <c r="F23" s="19">
        <v>100</v>
      </c>
      <c r="G23" s="9" t="s">
        <v>49</v>
      </c>
    </row>
    <row r="24" spans="2:7" ht="15" x14ac:dyDescent="0.25">
      <c r="B24" s="20" t="s">
        <v>50</v>
      </c>
      <c r="C24" s="16" t="s">
        <v>51</v>
      </c>
      <c r="D24" s="17"/>
      <c r="E24" s="17"/>
      <c r="F24" s="11">
        <v>10</v>
      </c>
      <c r="G24" s="9" t="s">
        <v>155</v>
      </c>
    </row>
    <row r="25" spans="2:7" x14ac:dyDescent="0.35">
      <c r="B25" s="26" t="s">
        <v>52</v>
      </c>
      <c r="C25" s="22" t="s">
        <v>53</v>
      </c>
      <c r="D25" s="23"/>
      <c r="E25" s="23"/>
      <c r="F25" s="19">
        <v>10</v>
      </c>
      <c r="G25" s="9" t="s">
        <v>155</v>
      </c>
    </row>
    <row r="26" spans="2:7" x14ac:dyDescent="0.35">
      <c r="B26" s="26" t="s">
        <v>54</v>
      </c>
      <c r="C26" s="22" t="s">
        <v>55</v>
      </c>
      <c r="D26" s="23"/>
      <c r="E26" s="23"/>
      <c r="F26" s="19"/>
      <c r="G26" s="9"/>
    </row>
    <row r="27" spans="2:7" x14ac:dyDescent="0.35">
      <c r="B27" s="11"/>
      <c r="C27" s="16" t="s">
        <v>43</v>
      </c>
      <c r="D27" s="17" t="s">
        <v>56</v>
      </c>
      <c r="E27" s="17"/>
      <c r="F27" s="11">
        <v>70</v>
      </c>
      <c r="G27" s="9" t="s">
        <v>49</v>
      </c>
    </row>
    <row r="28" spans="2:7" x14ac:dyDescent="0.35">
      <c r="B28" s="19"/>
      <c r="C28" s="22" t="s">
        <v>47</v>
      </c>
      <c r="D28" s="23" t="s">
        <v>57</v>
      </c>
      <c r="E28" s="23"/>
      <c r="F28" s="19">
        <v>30</v>
      </c>
      <c r="G28" s="9" t="s">
        <v>49</v>
      </c>
    </row>
    <row r="29" spans="2:7" x14ac:dyDescent="0.35">
      <c r="B29" s="20" t="s">
        <v>58</v>
      </c>
      <c r="C29" s="16" t="s">
        <v>59</v>
      </c>
      <c r="D29" s="17"/>
      <c r="E29" s="17"/>
      <c r="F29" s="11"/>
      <c r="G29" s="21"/>
    </row>
    <row r="30" spans="2:7" x14ac:dyDescent="0.35">
      <c r="B30" s="19"/>
      <c r="C30" s="22" t="s">
        <v>43</v>
      </c>
      <c r="D30" s="23" t="s">
        <v>56</v>
      </c>
      <c r="E30" s="23"/>
      <c r="F30" s="19">
        <v>70</v>
      </c>
      <c r="G30" s="9" t="s">
        <v>49</v>
      </c>
    </row>
    <row r="31" spans="2:7" x14ac:dyDescent="0.35">
      <c r="B31" s="19"/>
      <c r="C31" s="22" t="s">
        <v>47</v>
      </c>
      <c r="D31" s="23" t="s">
        <v>57</v>
      </c>
      <c r="E31" s="23"/>
      <c r="F31" s="19">
        <v>30</v>
      </c>
      <c r="G31" s="9" t="s">
        <v>49</v>
      </c>
    </row>
    <row r="32" spans="2:7" x14ac:dyDescent="0.35">
      <c r="B32" s="20" t="s">
        <v>60</v>
      </c>
      <c r="C32" s="16" t="s">
        <v>61</v>
      </c>
      <c r="D32" s="17"/>
      <c r="E32" s="17"/>
      <c r="F32" s="11">
        <v>5</v>
      </c>
      <c r="G32" s="21" t="s">
        <v>27</v>
      </c>
    </row>
    <row r="33" spans="2:7" x14ac:dyDescent="0.35">
      <c r="B33" s="26" t="s">
        <v>62</v>
      </c>
      <c r="C33" s="22" t="s">
        <v>63</v>
      </c>
      <c r="D33" s="23"/>
      <c r="E33" s="23"/>
      <c r="F33" s="19">
        <v>5</v>
      </c>
      <c r="G33" s="9" t="s">
        <v>27</v>
      </c>
    </row>
    <row r="34" spans="2:7" x14ac:dyDescent="0.35">
      <c r="B34" s="17"/>
      <c r="C34" s="17"/>
      <c r="D34" s="17"/>
      <c r="E34" s="17"/>
      <c r="F34" s="17"/>
      <c r="G34" s="17"/>
    </row>
    <row r="35" spans="2:7" x14ac:dyDescent="0.35">
      <c r="B35" s="17"/>
      <c r="C35" s="17"/>
      <c r="D35" s="17"/>
      <c r="E35" s="17"/>
      <c r="F35" s="17"/>
      <c r="G35" s="17"/>
    </row>
    <row r="36" spans="2:7" x14ac:dyDescent="0.3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</sheetData>
  <mergeCells count="2">
    <mergeCell ref="D15:E15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topLeftCell="A5" workbookViewId="0">
      <selection activeCell="L21" sqref="L21"/>
    </sheetView>
  </sheetViews>
  <sheetFormatPr defaultRowHeight="14.5" x14ac:dyDescent="0.35"/>
  <cols>
    <col min="2" max="2" width="5.1796875" customWidth="1"/>
    <col min="3" max="3" width="35.26953125" customWidth="1"/>
    <col min="4" max="4" width="3" customWidth="1"/>
    <col min="5" max="5" width="10.453125" customWidth="1"/>
    <col min="6" max="6" width="11.54296875" customWidth="1"/>
    <col min="7" max="7" width="12.1796875" customWidth="1"/>
    <col min="8" max="8" width="13.7265625" customWidth="1"/>
    <col min="9" max="9" width="18" customWidth="1"/>
    <col min="10" max="10" width="16.26953125" customWidth="1"/>
  </cols>
  <sheetData>
    <row r="2" spans="2:10" x14ac:dyDescent="0.25">
      <c r="B2" t="s">
        <v>73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192</v>
      </c>
    </row>
    <row r="5" spans="2:10" x14ac:dyDescent="0.25">
      <c r="B5" s="1" t="s">
        <v>2</v>
      </c>
      <c r="C5" s="1"/>
      <c r="D5" s="37" t="s">
        <v>12</v>
      </c>
      <c r="E5" t="s">
        <v>191</v>
      </c>
    </row>
    <row r="6" spans="2:10" x14ac:dyDescent="0.25">
      <c r="B6" s="1" t="s">
        <v>183</v>
      </c>
      <c r="C6" s="4"/>
      <c r="D6" s="37" t="s">
        <v>12</v>
      </c>
      <c r="E6" t="s">
        <v>189</v>
      </c>
    </row>
    <row r="8" spans="2:10" x14ac:dyDescent="0.25">
      <c r="B8" s="38" t="s">
        <v>21</v>
      </c>
      <c r="C8" s="164" t="s">
        <v>22</v>
      </c>
      <c r="D8" s="165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67</v>
      </c>
      <c r="J8" s="41" t="s">
        <v>89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91</v>
      </c>
      <c r="I9" s="46" t="s">
        <v>68</v>
      </c>
      <c r="J9" s="45" t="s">
        <v>90</v>
      </c>
    </row>
    <row r="10" spans="2:10" x14ac:dyDescent="0.25">
      <c r="B10" s="33" t="s">
        <v>25</v>
      </c>
      <c r="C10" s="22" t="s">
        <v>71</v>
      </c>
      <c r="D10" s="23"/>
      <c r="E10" s="19"/>
      <c r="F10" s="19"/>
      <c r="G10" s="19"/>
      <c r="H10" s="19"/>
      <c r="I10" s="19"/>
      <c r="J10" s="19"/>
    </row>
    <row r="11" spans="2:10" x14ac:dyDescent="0.25">
      <c r="B11" s="16"/>
      <c r="C11" s="34" t="s">
        <v>194</v>
      </c>
      <c r="D11" s="35"/>
      <c r="E11" s="19">
        <v>5</v>
      </c>
      <c r="F11" s="9" t="s">
        <v>70</v>
      </c>
      <c r="G11" s="67">
        <v>200000</v>
      </c>
      <c r="H11" s="69">
        <f>+E11*G11</f>
        <v>1000000</v>
      </c>
      <c r="I11" s="19">
        <v>15</v>
      </c>
      <c r="J11" s="67">
        <f>+H11/I11</f>
        <v>66666.666666666672</v>
      </c>
    </row>
    <row r="12" spans="2:10" x14ac:dyDescent="0.25">
      <c r="B12" s="22"/>
      <c r="C12" s="33" t="s">
        <v>193</v>
      </c>
      <c r="D12" s="36"/>
      <c r="E12" s="19"/>
      <c r="F12" s="9" t="s">
        <v>13</v>
      </c>
      <c r="G12" s="19"/>
      <c r="H12" s="67">
        <f>SUM(H10:H11)</f>
        <v>1000000</v>
      </c>
      <c r="I12" s="19"/>
      <c r="J12" s="67">
        <f>SUM(J10:J11)</f>
        <v>66666.666666666672</v>
      </c>
    </row>
    <row r="13" spans="2:10" x14ac:dyDescent="0.25">
      <c r="B13" s="33" t="s">
        <v>28</v>
      </c>
      <c r="C13" s="22" t="s">
        <v>157</v>
      </c>
      <c r="D13" s="23"/>
      <c r="E13" s="19"/>
      <c r="F13" s="9"/>
      <c r="G13" s="19"/>
      <c r="H13" s="19"/>
      <c r="I13" s="19"/>
      <c r="J13" s="19"/>
    </row>
    <row r="14" spans="2:10" x14ac:dyDescent="0.25">
      <c r="B14" s="26"/>
      <c r="C14" s="33" t="s">
        <v>195</v>
      </c>
      <c r="D14" s="24"/>
      <c r="E14" s="10">
        <v>1</v>
      </c>
      <c r="F14" s="9" t="s">
        <v>158</v>
      </c>
      <c r="G14" s="67">
        <v>7500000</v>
      </c>
      <c r="H14" s="69">
        <f>+E14*G14</f>
        <v>7500000</v>
      </c>
      <c r="I14" s="19">
        <v>5</v>
      </c>
      <c r="J14" s="67">
        <f>+H14/I14</f>
        <v>1500000</v>
      </c>
    </row>
    <row r="15" spans="2:10" x14ac:dyDescent="0.25">
      <c r="B15" s="33"/>
      <c r="C15" s="33" t="s">
        <v>156</v>
      </c>
      <c r="D15" s="24"/>
      <c r="E15" s="10"/>
      <c r="F15" s="9"/>
      <c r="G15" s="67"/>
      <c r="H15" s="69">
        <f>SUM(H14:H14)</f>
        <v>7500000</v>
      </c>
      <c r="I15" s="19"/>
      <c r="J15" s="69">
        <f>SUM(J14:J14)</f>
        <v>1500000</v>
      </c>
    </row>
    <row r="16" spans="2:10" x14ac:dyDescent="0.25">
      <c r="B16" s="33" t="s">
        <v>34</v>
      </c>
      <c r="C16" s="22" t="s">
        <v>160</v>
      </c>
      <c r="D16" s="24"/>
      <c r="E16" s="10" t="s">
        <v>13</v>
      </c>
      <c r="F16" s="9" t="s">
        <v>13</v>
      </c>
      <c r="G16" s="19"/>
      <c r="H16" s="19"/>
      <c r="I16" s="19"/>
      <c r="J16" s="19"/>
    </row>
    <row r="17" spans="2:10" x14ac:dyDescent="0.25">
      <c r="B17" s="33"/>
      <c r="C17" s="33" t="s">
        <v>203</v>
      </c>
      <c r="D17" s="24"/>
      <c r="E17" s="10">
        <v>1</v>
      </c>
      <c r="F17" s="9" t="s">
        <v>158</v>
      </c>
      <c r="G17" s="67">
        <v>300000</v>
      </c>
      <c r="H17" s="69">
        <f t="shared" ref="H17:H21" si="0">+E17*G17</f>
        <v>300000</v>
      </c>
      <c r="I17" s="19">
        <v>5</v>
      </c>
      <c r="J17" s="67">
        <f t="shared" ref="J17:J21" si="1">+H17/I17</f>
        <v>60000</v>
      </c>
    </row>
    <row r="18" spans="2:10" x14ac:dyDescent="0.25">
      <c r="B18" s="33"/>
      <c r="C18" s="33" t="s">
        <v>184</v>
      </c>
      <c r="D18" s="24"/>
      <c r="E18" s="10">
        <v>1</v>
      </c>
      <c r="F18" s="9" t="s">
        <v>161</v>
      </c>
      <c r="G18" s="67">
        <v>50000</v>
      </c>
      <c r="H18" s="69">
        <f t="shared" si="0"/>
        <v>50000</v>
      </c>
      <c r="I18" s="19">
        <v>2</v>
      </c>
      <c r="J18" s="67">
        <f t="shared" si="1"/>
        <v>25000</v>
      </c>
    </row>
    <row r="19" spans="2:10" x14ac:dyDescent="0.25">
      <c r="B19" s="33"/>
      <c r="C19" s="33" t="s">
        <v>185</v>
      </c>
      <c r="D19" s="24"/>
      <c r="E19" s="10">
        <v>1</v>
      </c>
      <c r="F19" s="9" t="s">
        <v>161</v>
      </c>
      <c r="G19" s="67">
        <v>75000</v>
      </c>
      <c r="H19" s="69">
        <f t="shared" si="0"/>
        <v>75000</v>
      </c>
      <c r="I19" s="19">
        <v>2</v>
      </c>
      <c r="J19" s="67">
        <f t="shared" si="1"/>
        <v>37500</v>
      </c>
    </row>
    <row r="20" spans="2:10" x14ac:dyDescent="0.25">
      <c r="B20" s="33"/>
      <c r="C20" s="33" t="s">
        <v>186</v>
      </c>
      <c r="D20" s="24"/>
      <c r="E20" s="10">
        <v>1</v>
      </c>
      <c r="F20" s="9" t="s">
        <v>161</v>
      </c>
      <c r="G20" s="67">
        <v>150000</v>
      </c>
      <c r="H20" s="69">
        <f t="shared" si="0"/>
        <v>150000</v>
      </c>
      <c r="I20" s="19">
        <v>2</v>
      </c>
      <c r="J20" s="67">
        <f t="shared" si="1"/>
        <v>75000</v>
      </c>
    </row>
    <row r="21" spans="2:10" x14ac:dyDescent="0.25">
      <c r="B21" s="33"/>
      <c r="C21" s="33" t="s">
        <v>187</v>
      </c>
      <c r="D21" s="24"/>
      <c r="E21" s="10">
        <v>1</v>
      </c>
      <c r="F21" s="9" t="s">
        <v>161</v>
      </c>
      <c r="G21" s="67">
        <v>50000</v>
      </c>
      <c r="H21" s="69">
        <f t="shared" si="0"/>
        <v>50000</v>
      </c>
      <c r="I21" s="19">
        <v>2</v>
      </c>
      <c r="J21" s="67">
        <f t="shared" si="1"/>
        <v>25000</v>
      </c>
    </row>
    <row r="22" spans="2:10" x14ac:dyDescent="0.25">
      <c r="B22" s="33"/>
      <c r="C22" s="33" t="s">
        <v>159</v>
      </c>
      <c r="D22" s="23"/>
      <c r="E22" s="19"/>
      <c r="F22" s="9"/>
      <c r="G22" s="19"/>
      <c r="H22" s="69">
        <f>SUM(H17:H21)</f>
        <v>625000</v>
      </c>
      <c r="I22" s="19"/>
      <c r="J22" s="69">
        <f>SUM(J17:J21)</f>
        <v>222500</v>
      </c>
    </row>
    <row r="23" spans="2:10" x14ac:dyDescent="0.25">
      <c r="B23" s="34" t="s">
        <v>35</v>
      </c>
      <c r="C23" s="16" t="s">
        <v>72</v>
      </c>
      <c r="D23" s="17"/>
      <c r="E23" s="11">
        <v>1</v>
      </c>
      <c r="F23" s="138" t="s">
        <v>158</v>
      </c>
      <c r="G23" s="74">
        <v>14000000</v>
      </c>
      <c r="H23" s="146">
        <f t="shared" ref="H23" si="2">+E23*G23</f>
        <v>14000000</v>
      </c>
      <c r="I23" s="19">
        <v>5</v>
      </c>
      <c r="J23" s="67">
        <f t="shared" ref="J23" si="3">+H23/I23</f>
        <v>2800000</v>
      </c>
    </row>
    <row r="24" spans="2:10" x14ac:dyDescent="0.25">
      <c r="B24" s="22"/>
      <c r="C24" s="22" t="s">
        <v>11</v>
      </c>
      <c r="D24" s="23"/>
      <c r="E24" s="19"/>
      <c r="F24" s="19"/>
      <c r="G24" s="19"/>
      <c r="H24" s="69">
        <f>+H23+H15+H12</f>
        <v>22500000</v>
      </c>
      <c r="I24" s="19"/>
      <c r="J24" s="69">
        <f>+J23+J15+J12</f>
        <v>4366666.666666667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topLeftCell="A4" workbookViewId="0">
      <selection activeCell="H19" sqref="H19"/>
    </sheetView>
  </sheetViews>
  <sheetFormatPr defaultRowHeight="14.5" x14ac:dyDescent="0.35"/>
  <cols>
    <col min="2" max="2" width="5.1796875" customWidth="1"/>
    <col min="3" max="3" width="3.81640625" customWidth="1"/>
    <col min="4" max="4" width="31.26953125" customWidth="1"/>
    <col min="5" max="5" width="2.26953125" customWidth="1"/>
    <col min="6" max="7" width="12.26953125" customWidth="1"/>
    <col min="8" max="8" width="13.453125" customWidth="1"/>
    <col min="9" max="9" width="15.54296875" customWidth="1"/>
    <col min="10" max="10" width="16.1796875" customWidth="1"/>
    <col min="13" max="13" width="12.54296875" bestFit="1" customWidth="1"/>
  </cols>
  <sheetData>
    <row r="2" spans="2:10" x14ac:dyDescent="0.25">
      <c r="B2" t="s">
        <v>86</v>
      </c>
    </row>
    <row r="3" spans="2:10" x14ac:dyDescent="0.25">
      <c r="B3" s="4" t="s">
        <v>74</v>
      </c>
      <c r="C3" s="4"/>
      <c r="D3" s="4"/>
      <c r="E3" s="31" t="s">
        <v>13</v>
      </c>
    </row>
    <row r="4" spans="2:10" x14ac:dyDescent="0.25">
      <c r="B4" s="1" t="s">
        <v>1</v>
      </c>
      <c r="C4" s="1"/>
      <c r="D4" s="1"/>
      <c r="E4" s="37" t="s">
        <v>12</v>
      </c>
      <c r="F4" t="s">
        <v>192</v>
      </c>
    </row>
    <row r="5" spans="2:10" x14ac:dyDescent="0.25">
      <c r="B5" s="1" t="s">
        <v>2</v>
      </c>
      <c r="C5" s="1"/>
      <c r="D5" s="1"/>
      <c r="E5" s="37" t="s">
        <v>12</v>
      </c>
      <c r="F5" t="s">
        <v>191</v>
      </c>
    </row>
    <row r="6" spans="2:10" x14ac:dyDescent="0.25">
      <c r="B6" s="1" t="s">
        <v>183</v>
      </c>
      <c r="C6" s="1"/>
      <c r="D6" s="1"/>
      <c r="E6" s="37" t="s">
        <v>12</v>
      </c>
      <c r="F6" t="s">
        <v>189</v>
      </c>
    </row>
    <row r="8" spans="2:10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75</v>
      </c>
      <c r="J8" s="40" t="s">
        <v>75</v>
      </c>
    </row>
    <row r="9" spans="2:10" x14ac:dyDescent="0.25">
      <c r="B9" s="42"/>
      <c r="C9" s="43"/>
      <c r="D9" s="44"/>
      <c r="E9" s="48"/>
      <c r="F9" s="42"/>
      <c r="G9" s="42"/>
      <c r="H9" s="45" t="s">
        <v>24</v>
      </c>
      <c r="I9" s="45" t="s">
        <v>76</v>
      </c>
      <c r="J9" s="45" t="s">
        <v>77</v>
      </c>
    </row>
    <row r="10" spans="2:10" x14ac:dyDescent="0.25">
      <c r="B10" s="33" t="s">
        <v>43</v>
      </c>
      <c r="C10" s="22" t="s">
        <v>162</v>
      </c>
      <c r="D10" s="23"/>
      <c r="E10" s="24"/>
      <c r="F10" s="19"/>
      <c r="G10" s="9"/>
      <c r="H10" s="19"/>
      <c r="I10" s="19"/>
      <c r="J10" s="19"/>
    </row>
    <row r="11" spans="2:10" x14ac:dyDescent="0.25">
      <c r="B11" s="33" t="s">
        <v>13</v>
      </c>
      <c r="C11" s="73" t="s">
        <v>149</v>
      </c>
      <c r="D11" s="23" t="s">
        <v>196</v>
      </c>
      <c r="E11" s="24"/>
      <c r="F11" s="67">
        <v>30</v>
      </c>
      <c r="G11" s="9" t="s">
        <v>197</v>
      </c>
      <c r="H11" s="67">
        <v>10000</v>
      </c>
      <c r="I11" s="69">
        <f>+F11*H11</f>
        <v>300000</v>
      </c>
      <c r="J11" s="69">
        <f>12*I11</f>
        <v>3600000</v>
      </c>
    </row>
    <row r="12" spans="2:10" x14ac:dyDescent="0.25">
      <c r="B12" s="34"/>
      <c r="C12" s="34"/>
      <c r="D12" s="147" t="s">
        <v>78</v>
      </c>
      <c r="E12" s="32"/>
      <c r="F12" s="74"/>
      <c r="G12" s="9"/>
      <c r="H12" s="19"/>
      <c r="I12" s="69">
        <f>SUM(I11:I11)</f>
        <v>300000</v>
      </c>
      <c r="J12" s="69">
        <f>SUM(J11:J11)</f>
        <v>3600000</v>
      </c>
    </row>
    <row r="13" spans="2:10" x14ac:dyDescent="0.25">
      <c r="B13" s="33" t="s">
        <v>47</v>
      </c>
      <c r="C13" s="22" t="s">
        <v>79</v>
      </c>
      <c r="D13" s="23"/>
      <c r="E13" s="8"/>
      <c r="F13" s="86">
        <v>5</v>
      </c>
      <c r="G13" s="9" t="s">
        <v>80</v>
      </c>
      <c r="H13" s="67">
        <v>100000</v>
      </c>
      <c r="I13" s="69">
        <f t="shared" ref="I13:I15" si="0">+F13*H13</f>
        <v>500000</v>
      </c>
      <c r="J13" s="69">
        <f>12*I13</f>
        <v>6000000</v>
      </c>
    </row>
    <row r="14" spans="2:10" x14ac:dyDescent="0.25">
      <c r="B14" s="33" t="s">
        <v>48</v>
      </c>
      <c r="C14" s="22" t="s">
        <v>198</v>
      </c>
      <c r="E14" s="8"/>
      <c r="F14" s="148"/>
      <c r="G14" s="9"/>
      <c r="H14" s="67"/>
      <c r="I14" s="69"/>
      <c r="J14" s="69"/>
    </row>
    <row r="15" spans="2:10" x14ac:dyDescent="0.25">
      <c r="B15" s="19" t="s">
        <v>13</v>
      </c>
      <c r="C15" s="73" t="s">
        <v>149</v>
      </c>
      <c r="D15" s="36" t="s">
        <v>81</v>
      </c>
      <c r="E15" s="24"/>
      <c r="F15" s="12">
        <v>1</v>
      </c>
      <c r="G15" s="9" t="s">
        <v>69</v>
      </c>
      <c r="H15" s="67">
        <v>100000</v>
      </c>
      <c r="I15" s="69">
        <f t="shared" si="0"/>
        <v>100000</v>
      </c>
      <c r="J15" s="69">
        <f t="shared" ref="J15" si="1">12*I15</f>
        <v>1200000</v>
      </c>
    </row>
    <row r="16" spans="2:10" x14ac:dyDescent="0.25">
      <c r="B16" s="19"/>
      <c r="C16" s="73" t="s">
        <v>149</v>
      </c>
      <c r="D16" s="23" t="s">
        <v>199</v>
      </c>
      <c r="E16" s="24"/>
      <c r="F16" s="12">
        <v>1</v>
      </c>
      <c r="G16" s="9" t="s">
        <v>69</v>
      </c>
      <c r="H16" s="67">
        <v>100000</v>
      </c>
      <c r="I16" s="69">
        <f t="shared" ref="I16:I17" si="2">+F16*H16</f>
        <v>100000</v>
      </c>
      <c r="J16" s="69">
        <f t="shared" ref="J16:J17" si="3">12*I16</f>
        <v>1200000</v>
      </c>
    </row>
    <row r="17" spans="2:13" x14ac:dyDescent="0.25">
      <c r="B17" s="19"/>
      <c r="C17" s="73" t="s">
        <v>149</v>
      </c>
      <c r="D17" s="23" t="s">
        <v>200</v>
      </c>
      <c r="E17" s="24"/>
      <c r="F17" s="12">
        <v>1</v>
      </c>
      <c r="G17" s="9" t="s">
        <v>69</v>
      </c>
      <c r="H17" s="67">
        <v>100000</v>
      </c>
      <c r="I17" s="69">
        <f t="shared" si="2"/>
        <v>100000</v>
      </c>
      <c r="J17" s="69">
        <f t="shared" si="3"/>
        <v>1200000</v>
      </c>
    </row>
    <row r="18" spans="2:13" x14ac:dyDescent="0.25">
      <c r="B18" s="19"/>
      <c r="C18" s="73" t="s">
        <v>149</v>
      </c>
      <c r="D18" s="36" t="s">
        <v>87</v>
      </c>
      <c r="E18" s="24"/>
      <c r="F18" s="12">
        <v>1</v>
      </c>
      <c r="G18" s="9" t="s">
        <v>69</v>
      </c>
      <c r="H18" s="67">
        <v>100000</v>
      </c>
      <c r="I18" s="69">
        <f t="shared" ref="I18" si="4">+F18*H18</f>
        <v>100000</v>
      </c>
      <c r="J18" s="69">
        <f t="shared" ref="J18" si="5">12*I18</f>
        <v>1200000</v>
      </c>
    </row>
    <row r="19" spans="2:13" x14ac:dyDescent="0.25">
      <c r="B19" s="19"/>
      <c r="C19" s="36" t="s">
        <v>201</v>
      </c>
      <c r="D19" s="23"/>
      <c r="E19" s="18"/>
      <c r="F19" s="12"/>
      <c r="G19" s="9"/>
      <c r="H19" s="19"/>
      <c r="I19" s="69">
        <f>SUM(I15:I18)</f>
        <v>400000</v>
      </c>
      <c r="J19" s="69">
        <f>SUM(J15:J18)</f>
        <v>4800000</v>
      </c>
      <c r="M19" s="96" t="s">
        <v>13</v>
      </c>
    </row>
    <row r="20" spans="2:13" x14ac:dyDescent="0.25">
      <c r="B20" s="33"/>
      <c r="C20" s="33"/>
      <c r="D20" s="23" t="s">
        <v>202</v>
      </c>
      <c r="E20" s="24"/>
      <c r="F20" s="19"/>
      <c r="G20" s="9"/>
      <c r="H20" s="19"/>
      <c r="I20" s="69">
        <f>+I19+I13</f>
        <v>900000</v>
      </c>
      <c r="J20" s="69">
        <f>+J19+J13</f>
        <v>10800000</v>
      </c>
    </row>
    <row r="21" spans="2:13" x14ac:dyDescent="0.25">
      <c r="B21" s="94" t="s">
        <v>13</v>
      </c>
      <c r="C21" s="54"/>
    </row>
    <row r="22" spans="2:13" x14ac:dyDescent="0.25">
      <c r="B22" t="s">
        <v>13</v>
      </c>
      <c r="C22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topLeftCell="A4" workbookViewId="0">
      <selection activeCell="K19" sqref="K19"/>
    </sheetView>
  </sheetViews>
  <sheetFormatPr defaultRowHeight="14.5" x14ac:dyDescent="0.35"/>
  <cols>
    <col min="2" max="2" width="6.54296875" customWidth="1"/>
    <col min="3" max="3" width="3.7265625" customWidth="1"/>
    <col min="4" max="4" width="24.26953125" customWidth="1"/>
    <col min="5" max="5" width="3" customWidth="1"/>
    <col min="6" max="6" width="11.81640625" customWidth="1"/>
    <col min="7" max="7" width="10.81640625" customWidth="1"/>
    <col min="8" max="8" width="15.54296875" customWidth="1"/>
    <col min="9" max="9" width="26" customWidth="1"/>
    <col min="11" max="11" width="11.54296875" bestFit="1" customWidth="1"/>
  </cols>
  <sheetData>
    <row r="2" spans="2:17" ht="15" x14ac:dyDescent="0.25">
      <c r="B2" t="s">
        <v>92</v>
      </c>
    </row>
    <row r="3" spans="2:17" ht="15" x14ac:dyDescent="0.25">
      <c r="B3" s="1" t="s">
        <v>93</v>
      </c>
      <c r="C3" s="1"/>
      <c r="D3" s="1"/>
      <c r="E3" s="31" t="s">
        <v>13</v>
      </c>
    </row>
    <row r="4" spans="2:17" ht="15" x14ac:dyDescent="0.25">
      <c r="B4" s="1" t="s">
        <v>1</v>
      </c>
      <c r="C4" s="1"/>
      <c r="D4" s="1"/>
      <c r="E4" s="31" t="s">
        <v>12</v>
      </c>
      <c r="F4" t="s">
        <v>192</v>
      </c>
    </row>
    <row r="5" spans="2:17" ht="15" x14ac:dyDescent="0.25">
      <c r="B5" s="1" t="s">
        <v>2</v>
      </c>
      <c r="C5" s="1"/>
      <c r="D5" s="1"/>
      <c r="E5" s="31" t="s">
        <v>12</v>
      </c>
      <c r="F5" t="s">
        <v>191</v>
      </c>
    </row>
    <row r="6" spans="2:17" ht="15" x14ac:dyDescent="0.25">
      <c r="B6" s="1" t="s">
        <v>183</v>
      </c>
      <c r="C6" s="4"/>
      <c r="D6" s="4"/>
      <c r="E6" s="31" t="s">
        <v>12</v>
      </c>
      <c r="F6" t="s">
        <v>189</v>
      </c>
    </row>
    <row r="8" spans="2:17" ht="15" x14ac:dyDescent="0.25">
      <c r="B8" s="30" t="s">
        <v>94</v>
      </c>
      <c r="C8" s="162" t="s">
        <v>22</v>
      </c>
      <c r="D8" s="163"/>
      <c r="E8" s="166"/>
      <c r="F8" s="30" t="s">
        <v>65</v>
      </c>
      <c r="G8" s="30" t="s">
        <v>24</v>
      </c>
      <c r="H8" s="30" t="s">
        <v>96</v>
      </c>
      <c r="I8" s="29" t="s">
        <v>95</v>
      </c>
    </row>
    <row r="9" spans="2:17" ht="15" x14ac:dyDescent="0.25">
      <c r="B9" s="52" t="s">
        <v>25</v>
      </c>
      <c r="C9" s="58" t="s">
        <v>97</v>
      </c>
      <c r="D9" s="59"/>
      <c r="E9" s="15"/>
      <c r="G9" s="10"/>
      <c r="I9" s="10"/>
      <c r="Q9" t="s">
        <v>13</v>
      </c>
    </row>
    <row r="10" spans="2:17" ht="15" x14ac:dyDescent="0.25">
      <c r="B10" s="19"/>
      <c r="C10" s="22" t="s">
        <v>43</v>
      </c>
      <c r="D10" s="23" t="s">
        <v>204</v>
      </c>
      <c r="E10" s="24"/>
      <c r="F10" s="23">
        <v>1</v>
      </c>
      <c r="G10" s="9" t="s">
        <v>29</v>
      </c>
      <c r="H10" s="95">
        <f>+'Tabel Lampiran 5'!I12</f>
        <v>300000</v>
      </c>
      <c r="I10" s="69">
        <f>+H10</f>
        <v>300000</v>
      </c>
    </row>
    <row r="11" spans="2:17" ht="15" x14ac:dyDescent="0.25">
      <c r="B11" s="19"/>
      <c r="C11" s="22" t="s">
        <v>47</v>
      </c>
      <c r="D11" s="23" t="s">
        <v>205</v>
      </c>
      <c r="E11" s="24"/>
      <c r="F11" s="23">
        <v>1</v>
      </c>
      <c r="G11" s="9" t="s">
        <v>29</v>
      </c>
      <c r="H11" s="95">
        <f>+'Tabel Lampiran 5'!I13</f>
        <v>500000</v>
      </c>
      <c r="I11" s="69">
        <f>+H11</f>
        <v>500000</v>
      </c>
    </row>
    <row r="12" spans="2:17" ht="15" x14ac:dyDescent="0.25">
      <c r="B12" s="19"/>
      <c r="C12" s="22" t="s">
        <v>48</v>
      </c>
      <c r="D12" s="23" t="s">
        <v>206</v>
      </c>
      <c r="E12" s="24"/>
      <c r="F12" s="23">
        <v>1</v>
      </c>
      <c r="G12" s="9" t="s">
        <v>29</v>
      </c>
      <c r="H12" s="95">
        <f>+'Tabel Lampiran 5'!I19</f>
        <v>400000</v>
      </c>
      <c r="I12" s="69">
        <f>+H12</f>
        <v>400000</v>
      </c>
    </row>
    <row r="13" spans="2:17" ht="15" x14ac:dyDescent="0.25">
      <c r="B13" s="11"/>
      <c r="C13" s="16" t="s">
        <v>99</v>
      </c>
      <c r="D13" s="17"/>
      <c r="E13" s="18"/>
      <c r="G13" s="11"/>
      <c r="H13" s="69">
        <f>SUM(H10:H12)</f>
        <v>1200000</v>
      </c>
      <c r="I13" s="69">
        <f>SUM(I10:I12)</f>
        <v>1200000</v>
      </c>
      <c r="K13" s="96" t="s">
        <v>13</v>
      </c>
    </row>
    <row r="14" spans="2:17" ht="15" x14ac:dyDescent="0.25">
      <c r="B14" s="55" t="s">
        <v>28</v>
      </c>
      <c r="C14" s="49" t="s">
        <v>100</v>
      </c>
      <c r="D14" s="50"/>
      <c r="E14" s="24"/>
      <c r="F14" s="23"/>
      <c r="G14" s="19"/>
      <c r="H14" s="23"/>
      <c r="I14" s="19"/>
    </row>
    <row r="15" spans="2:17" ht="15" x14ac:dyDescent="0.25">
      <c r="B15" s="11"/>
      <c r="C15" s="16" t="s">
        <v>43</v>
      </c>
      <c r="D15" s="54" t="s">
        <v>100</v>
      </c>
      <c r="E15" s="18"/>
      <c r="F15">
        <v>1</v>
      </c>
      <c r="G15" s="21" t="s">
        <v>69</v>
      </c>
      <c r="H15" s="96">
        <f>+'Tabel Lampiran 4'!H24</f>
        <v>22500000</v>
      </c>
      <c r="I15" s="97">
        <f>+H15</f>
        <v>22500000</v>
      </c>
    </row>
    <row r="16" spans="2:17" ht="15" x14ac:dyDescent="0.25">
      <c r="B16" s="19"/>
      <c r="C16" s="22" t="s">
        <v>163</v>
      </c>
      <c r="D16" s="23"/>
      <c r="E16" s="24"/>
      <c r="F16" s="23"/>
      <c r="G16" s="19"/>
      <c r="H16" s="95" t="s">
        <v>13</v>
      </c>
      <c r="I16" s="69">
        <f>+I15</f>
        <v>22500000</v>
      </c>
    </row>
    <row r="17" spans="2:12" ht="15" x14ac:dyDescent="0.25">
      <c r="B17" s="19"/>
      <c r="C17" s="22" t="s">
        <v>101</v>
      </c>
      <c r="D17" s="23"/>
      <c r="E17" s="24"/>
      <c r="F17" s="23"/>
      <c r="G17" s="19"/>
      <c r="H17" s="95"/>
      <c r="I17" s="69">
        <f>+I16+I13</f>
        <v>23700000</v>
      </c>
      <c r="K17" s="96" t="s">
        <v>13</v>
      </c>
    </row>
    <row r="18" spans="2:12" ht="15" x14ac:dyDescent="0.25">
      <c r="B18" s="11"/>
      <c r="C18" s="56" t="s">
        <v>105</v>
      </c>
      <c r="D18" s="57"/>
      <c r="E18" s="18"/>
      <c r="G18" s="11"/>
      <c r="I18" s="11"/>
      <c r="K18" s="96" t="s">
        <v>13</v>
      </c>
    </row>
    <row r="19" spans="2:12" ht="15" x14ac:dyDescent="0.25">
      <c r="B19" s="9" t="s">
        <v>25</v>
      </c>
      <c r="C19" s="22" t="s">
        <v>97</v>
      </c>
      <c r="D19" s="23"/>
      <c r="E19" s="24"/>
      <c r="F19" s="23"/>
      <c r="G19" s="19"/>
      <c r="H19" s="23"/>
      <c r="I19" s="19"/>
    </row>
    <row r="20" spans="2:12" ht="15" x14ac:dyDescent="0.25">
      <c r="B20" s="21"/>
      <c r="C20" s="16" t="s">
        <v>43</v>
      </c>
      <c r="D20" s="17" t="s">
        <v>56</v>
      </c>
      <c r="E20" s="18"/>
      <c r="F20">
        <f>+'Tabel Lampiran 3'!F27</f>
        <v>70</v>
      </c>
      <c r="G20" s="70" t="s">
        <v>164</v>
      </c>
      <c r="H20" s="96">
        <f>+I13</f>
        <v>1200000</v>
      </c>
      <c r="I20" s="69">
        <f>+F20/100*H20</f>
        <v>840000</v>
      </c>
      <c r="L20" s="96" t="s">
        <v>13</v>
      </c>
    </row>
    <row r="21" spans="2:12" ht="15" x14ac:dyDescent="0.25">
      <c r="B21" s="9"/>
      <c r="C21" s="22" t="s">
        <v>47</v>
      </c>
      <c r="D21" s="23" t="s">
        <v>102</v>
      </c>
      <c r="E21" s="24"/>
      <c r="F21" s="23">
        <f>+'Tabel Lampiran 3'!F28</f>
        <v>30</v>
      </c>
      <c r="G21" s="70" t="s">
        <v>164</v>
      </c>
      <c r="H21" s="95">
        <f>+I13</f>
        <v>1200000</v>
      </c>
      <c r="I21" s="69">
        <f>+F21/100*H21</f>
        <v>360000</v>
      </c>
    </row>
    <row r="22" spans="2:12" ht="15" x14ac:dyDescent="0.25">
      <c r="B22" s="21"/>
      <c r="C22" s="16" t="s">
        <v>103</v>
      </c>
      <c r="D22" s="17"/>
      <c r="E22" s="18"/>
      <c r="G22" s="11"/>
      <c r="H22" s="96"/>
      <c r="I22" s="97">
        <f>SUM(I20:I21)</f>
        <v>1200000</v>
      </c>
    </row>
    <row r="23" spans="2:12" ht="15" x14ac:dyDescent="0.25">
      <c r="B23" s="55" t="s">
        <v>28</v>
      </c>
      <c r="C23" s="22" t="s">
        <v>100</v>
      </c>
      <c r="D23" s="23"/>
      <c r="E23" s="24"/>
      <c r="F23" s="23"/>
      <c r="G23" s="19"/>
      <c r="H23" s="23"/>
      <c r="I23" s="19"/>
    </row>
    <row r="24" spans="2:12" ht="15" x14ac:dyDescent="0.25">
      <c r="B24" s="11"/>
      <c r="C24" s="16" t="s">
        <v>43</v>
      </c>
      <c r="D24" s="17" t="s">
        <v>56</v>
      </c>
      <c r="E24" s="18"/>
      <c r="F24">
        <f>+'Tabel Lampiran 3'!F30</f>
        <v>70</v>
      </c>
      <c r="G24" s="70" t="s">
        <v>164</v>
      </c>
      <c r="H24" s="96">
        <f>+H15</f>
        <v>22500000</v>
      </c>
      <c r="I24" s="69">
        <f t="shared" ref="I24:I25" si="0">+F24/100*H24</f>
        <v>15749999.999999998</v>
      </c>
    </row>
    <row r="25" spans="2:12" x14ac:dyDescent="0.35">
      <c r="B25" s="19"/>
      <c r="C25" s="22" t="s">
        <v>47</v>
      </c>
      <c r="D25" s="23" t="s">
        <v>102</v>
      </c>
      <c r="E25" s="24"/>
      <c r="F25" s="23">
        <f>+'Tabel Lampiran 3'!F31</f>
        <v>30</v>
      </c>
      <c r="G25" s="70" t="s">
        <v>164</v>
      </c>
      <c r="H25" s="95">
        <f>+H15</f>
        <v>22500000</v>
      </c>
      <c r="I25" s="69">
        <f t="shared" si="0"/>
        <v>6750000</v>
      </c>
    </row>
    <row r="26" spans="2:12" x14ac:dyDescent="0.35">
      <c r="B26" s="19"/>
      <c r="C26" s="22" t="s">
        <v>104</v>
      </c>
      <c r="D26" s="23"/>
      <c r="E26" s="24"/>
      <c r="F26" s="23"/>
      <c r="G26" s="19"/>
      <c r="H26" s="95" t="s">
        <v>13</v>
      </c>
      <c r="I26" s="69">
        <f>SUM(I24:I25)</f>
        <v>22500000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opLeftCell="A20" workbookViewId="0">
      <selection activeCell="L33" sqref="L33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3.26953125" customWidth="1"/>
    <col min="10" max="10" width="14.26953125" customWidth="1"/>
    <col min="11" max="11" width="15.54296875" customWidth="1"/>
  </cols>
  <sheetData>
    <row r="2" spans="2:16" x14ac:dyDescent="0.25">
      <c r="B2" t="s">
        <v>106</v>
      </c>
    </row>
    <row r="3" spans="2:16" x14ac:dyDescent="0.25">
      <c r="B3" s="4" t="s">
        <v>107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192</v>
      </c>
    </row>
    <row r="5" spans="2:16" x14ac:dyDescent="0.25">
      <c r="B5" s="1" t="s">
        <v>2</v>
      </c>
      <c r="C5" s="1"/>
      <c r="D5" s="1"/>
      <c r="E5" s="31" t="s">
        <v>12</v>
      </c>
      <c r="F5" t="s">
        <v>191</v>
      </c>
    </row>
    <row r="6" spans="2:16" x14ac:dyDescent="0.25">
      <c r="B6" s="1" t="s">
        <v>183</v>
      </c>
      <c r="C6" s="1"/>
      <c r="D6" s="1"/>
      <c r="E6" s="31" t="s">
        <v>12</v>
      </c>
      <c r="F6" t="s">
        <v>189</v>
      </c>
    </row>
    <row r="8" spans="2:16" x14ac:dyDescent="0.25">
      <c r="B8" s="44" t="s">
        <v>173</v>
      </c>
      <c r="C8" s="103"/>
      <c r="D8" s="103"/>
      <c r="E8" s="103"/>
      <c r="F8" s="103"/>
      <c r="G8" s="103"/>
      <c r="H8" s="103"/>
      <c r="I8" s="103"/>
      <c r="J8" s="103"/>
    </row>
    <row r="9" spans="2:16" x14ac:dyDescent="0.25">
      <c r="B9" s="30" t="s">
        <v>94</v>
      </c>
      <c r="C9" s="162" t="s">
        <v>22</v>
      </c>
      <c r="D9" s="163"/>
      <c r="E9" s="166"/>
      <c r="F9" s="64" t="s">
        <v>108</v>
      </c>
      <c r="G9" s="30" t="s">
        <v>109</v>
      </c>
      <c r="H9" s="64" t="s">
        <v>110</v>
      </c>
      <c r="I9" s="30" t="s">
        <v>111</v>
      </c>
      <c r="J9" s="30" t="s">
        <v>112</v>
      </c>
    </row>
    <row r="10" spans="2:16" x14ac:dyDescent="0.25">
      <c r="B10" s="55" t="s">
        <v>25</v>
      </c>
      <c r="C10" s="23" t="s">
        <v>171</v>
      </c>
      <c r="D10" s="23"/>
      <c r="E10" s="24"/>
      <c r="F10" s="69">
        <f>+'Tabel Lampiran 6'!I20</f>
        <v>840000</v>
      </c>
      <c r="G10" s="69">
        <f>+F10-G11</f>
        <v>672000</v>
      </c>
      <c r="H10" s="69">
        <f>+G10-H11</f>
        <v>504000</v>
      </c>
      <c r="I10" s="69">
        <f>+H10-I11</f>
        <v>336000</v>
      </c>
      <c r="J10" s="69">
        <f>+I10-J11</f>
        <v>168000</v>
      </c>
      <c r="P10" t="s">
        <v>13</v>
      </c>
    </row>
    <row r="11" spans="2:16" x14ac:dyDescent="0.25">
      <c r="B11" s="19"/>
      <c r="C11" s="23" t="s">
        <v>43</v>
      </c>
      <c r="D11" s="23" t="s">
        <v>166</v>
      </c>
      <c r="E11" s="24"/>
      <c r="F11" s="67">
        <f>+F10/'Tabel Lampiran 3'!F32</f>
        <v>168000</v>
      </c>
      <c r="G11" s="67">
        <f>+F11</f>
        <v>168000</v>
      </c>
      <c r="H11" s="67">
        <f>+G11</f>
        <v>168000</v>
      </c>
      <c r="I11" s="67">
        <f>+H11</f>
        <v>168000</v>
      </c>
      <c r="J11" s="67">
        <f>+I11</f>
        <v>168000</v>
      </c>
    </row>
    <row r="12" spans="2:16" x14ac:dyDescent="0.25">
      <c r="B12" s="19"/>
      <c r="C12" s="23" t="s">
        <v>47</v>
      </c>
      <c r="D12" s="23" t="s">
        <v>167</v>
      </c>
      <c r="E12" s="24"/>
      <c r="F12" s="67">
        <f>+'Tabel Lampiran 3'!F24/100*'Tabel Lampiran 7'!F10</f>
        <v>84000</v>
      </c>
      <c r="G12" s="67">
        <f>+'Tabel Lampiran 3'!F24/100*'Tabel Lampiran 7'!G10</f>
        <v>67200</v>
      </c>
      <c r="H12" s="67">
        <f>+'Tabel Lampiran 3'!F24/100*'Tabel Lampiran 7'!H10</f>
        <v>50400</v>
      </c>
      <c r="I12" s="67">
        <f>+'Tabel Lampiran 3'!F25/100*'Tabel Lampiran 7'!I10</f>
        <v>33600</v>
      </c>
      <c r="J12" s="67">
        <f>+'Tabel Lampiran 3'!F24/100*'Tabel Lampiran 7'!J10</f>
        <v>16800</v>
      </c>
      <c r="L12">
        <v>10</v>
      </c>
    </row>
    <row r="13" spans="2:16" x14ac:dyDescent="0.25">
      <c r="B13" s="9" t="s">
        <v>28</v>
      </c>
      <c r="C13" s="23" t="s">
        <v>172</v>
      </c>
      <c r="D13" s="23"/>
      <c r="E13" s="24"/>
      <c r="F13" s="67">
        <f>+'Tabel Lampiran 6'!I24</f>
        <v>15749999.999999998</v>
      </c>
      <c r="G13" s="67">
        <f>+F13-F14</f>
        <v>12599999.999999998</v>
      </c>
      <c r="H13" s="67">
        <f>+G13-G14</f>
        <v>9449999.9999999981</v>
      </c>
      <c r="I13" s="67">
        <f>+H13-H14</f>
        <v>6299999.9999999981</v>
      </c>
      <c r="J13" s="67">
        <f>+I13-I14</f>
        <v>3149999.9999999986</v>
      </c>
    </row>
    <row r="14" spans="2:16" x14ac:dyDescent="0.25">
      <c r="B14" s="19"/>
      <c r="C14" s="63" t="s">
        <v>43</v>
      </c>
      <c r="D14" s="23" t="s">
        <v>166</v>
      </c>
      <c r="E14" s="24"/>
      <c r="F14" s="67">
        <f>+F13/'Tabel Lampiran 3'!F33</f>
        <v>3149999.9999999995</v>
      </c>
      <c r="G14" s="67">
        <f>+F14</f>
        <v>3149999.9999999995</v>
      </c>
      <c r="H14" s="67">
        <f>+G14</f>
        <v>3149999.9999999995</v>
      </c>
      <c r="I14" s="67">
        <f>+H14</f>
        <v>3149999.9999999995</v>
      </c>
      <c r="J14" s="67">
        <f>+I14</f>
        <v>3149999.9999999995</v>
      </c>
    </row>
    <row r="15" spans="2:16" x14ac:dyDescent="0.25">
      <c r="B15" s="12"/>
      <c r="C15" s="103" t="s">
        <v>47</v>
      </c>
      <c r="D15" s="103" t="s">
        <v>167</v>
      </c>
      <c r="E15" s="32"/>
      <c r="F15" s="67">
        <f>+'Tabel Lampiran 3'!F24/100*'Tabel Lampiran 7'!F13</f>
        <v>1575000</v>
      </c>
      <c r="G15" s="67">
        <f>+'Tabel Lampiran 3'!F24/100*'Tabel Lampiran 7'!G13</f>
        <v>1260000</v>
      </c>
      <c r="H15" s="67">
        <f>+'Tabel Lampiran 3'!F24/100*'Tabel Lampiran 7'!H13</f>
        <v>944999.99999999988</v>
      </c>
      <c r="I15" s="67">
        <f>+'Tabel Lampiran 3'!F24/100*'Tabel Lampiran 7'!I13</f>
        <v>629999.99999999988</v>
      </c>
      <c r="J15" s="67">
        <f>+'Tabel Lampiran 3'!F24/100*'Tabel Lampiran 7'!J13</f>
        <v>314999.99999999988</v>
      </c>
    </row>
    <row r="16" spans="2:16" x14ac:dyDescent="0.25">
      <c r="B16" s="9">
        <v>3</v>
      </c>
      <c r="C16" s="23" t="s">
        <v>168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169</v>
      </c>
      <c r="E17" s="23"/>
      <c r="F17" s="67">
        <f t="shared" ref="F17:J18" si="0">+F11+F14</f>
        <v>3317999.9999999995</v>
      </c>
      <c r="G17" s="67">
        <f t="shared" si="0"/>
        <v>3317999.9999999995</v>
      </c>
      <c r="H17" s="67">
        <f t="shared" si="0"/>
        <v>3317999.9999999995</v>
      </c>
      <c r="I17" s="67">
        <f t="shared" si="0"/>
        <v>3317999.9999999995</v>
      </c>
      <c r="J17" s="67">
        <f t="shared" si="0"/>
        <v>3317999.9999999995</v>
      </c>
    </row>
    <row r="18" spans="2:10" x14ac:dyDescent="0.25">
      <c r="B18" s="19"/>
      <c r="C18" s="103" t="s">
        <v>47</v>
      </c>
      <c r="D18" s="23" t="s">
        <v>170</v>
      </c>
      <c r="E18" s="23"/>
      <c r="F18" s="67">
        <f t="shared" si="0"/>
        <v>1659000</v>
      </c>
      <c r="G18" s="67">
        <f t="shared" si="0"/>
        <v>1327200</v>
      </c>
      <c r="H18" s="67">
        <f t="shared" si="0"/>
        <v>995399.99999999988</v>
      </c>
      <c r="I18" s="67">
        <f t="shared" si="0"/>
        <v>663599.99999999988</v>
      </c>
      <c r="J18" s="67">
        <f t="shared" si="0"/>
        <v>331799.99999999988</v>
      </c>
    </row>
    <row r="20" spans="2:10" x14ac:dyDescent="0.25">
      <c r="B20" s="4" t="s">
        <v>107</v>
      </c>
      <c r="C20" s="4"/>
      <c r="D20" s="4"/>
    </row>
    <row r="21" spans="2:10" x14ac:dyDescent="0.25">
      <c r="B21" s="30" t="s">
        <v>94</v>
      </c>
      <c r="C21" s="162" t="s">
        <v>22</v>
      </c>
      <c r="D21" s="163"/>
      <c r="E21" s="166"/>
      <c r="F21" s="28" t="s">
        <v>108</v>
      </c>
      <c r="G21" s="30" t="s">
        <v>109</v>
      </c>
      <c r="H21" s="28" t="s">
        <v>110</v>
      </c>
      <c r="I21" s="30" t="s">
        <v>111</v>
      </c>
      <c r="J21" s="30" t="s">
        <v>112</v>
      </c>
    </row>
    <row r="22" spans="2:10" x14ac:dyDescent="0.25">
      <c r="B22" s="52" t="s">
        <v>25</v>
      </c>
      <c r="C22" s="51" t="s">
        <v>113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165</v>
      </c>
      <c r="D23" s="23"/>
      <c r="E23" s="24"/>
      <c r="F23" s="95">
        <f>+'Tabel Lampiran 1'!R12</f>
        <v>25200000</v>
      </c>
      <c r="G23" s="69">
        <f>+F23</f>
        <v>25200000</v>
      </c>
      <c r="H23" s="95">
        <f>+G23</f>
        <v>25200000</v>
      </c>
      <c r="I23" s="69">
        <f>+H23</f>
        <v>25200000</v>
      </c>
      <c r="J23" s="69">
        <f>+I23</f>
        <v>25200000</v>
      </c>
    </row>
    <row r="24" spans="2:10" x14ac:dyDescent="0.25">
      <c r="B24" s="53" t="s">
        <v>28</v>
      </c>
      <c r="C24" s="16" t="s">
        <v>114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98</v>
      </c>
      <c r="D25" s="23" t="s">
        <v>207</v>
      </c>
      <c r="E25" s="24"/>
      <c r="F25" s="95">
        <f>+'Tabel Lampiran 5'!J12</f>
        <v>3600000</v>
      </c>
      <c r="G25" s="69">
        <f t="shared" ref="G25:J28" si="1">+F25</f>
        <v>3600000</v>
      </c>
      <c r="H25" s="95">
        <f t="shared" si="1"/>
        <v>3600000</v>
      </c>
      <c r="I25" s="69">
        <f t="shared" si="1"/>
        <v>3600000</v>
      </c>
      <c r="J25" s="69">
        <f t="shared" si="1"/>
        <v>3600000</v>
      </c>
    </row>
    <row r="26" spans="2:10" x14ac:dyDescent="0.25">
      <c r="B26" s="9"/>
      <c r="C26" s="22" t="s">
        <v>47</v>
      </c>
      <c r="D26" s="23" t="s">
        <v>208</v>
      </c>
      <c r="E26" s="24"/>
      <c r="F26" s="95">
        <f>+'Tabel Lampiran 5'!J13</f>
        <v>6000000</v>
      </c>
      <c r="G26" s="69">
        <f t="shared" si="1"/>
        <v>6000000</v>
      </c>
      <c r="H26" s="95">
        <f t="shared" si="1"/>
        <v>6000000</v>
      </c>
      <c r="I26" s="69">
        <f t="shared" si="1"/>
        <v>6000000</v>
      </c>
      <c r="J26" s="69">
        <f t="shared" si="1"/>
        <v>6000000</v>
      </c>
    </row>
    <row r="27" spans="2:10" x14ac:dyDescent="0.25">
      <c r="B27" s="21"/>
      <c r="C27" s="16" t="s">
        <v>48</v>
      </c>
      <c r="D27" s="17" t="s">
        <v>198</v>
      </c>
      <c r="E27" s="18"/>
      <c r="F27" s="98">
        <f>+'Tabel Lampiran 5'!J19</f>
        <v>4800000</v>
      </c>
      <c r="G27" s="97">
        <f>+F27</f>
        <v>4800000</v>
      </c>
      <c r="H27" s="98">
        <f>+G27</f>
        <v>4800000</v>
      </c>
      <c r="I27" s="97">
        <f>+H27</f>
        <v>4800000</v>
      </c>
      <c r="J27" s="97">
        <f>+I27</f>
        <v>4800000</v>
      </c>
    </row>
    <row r="28" spans="2:10" x14ac:dyDescent="0.25">
      <c r="B28" s="9"/>
      <c r="C28" s="22" t="s">
        <v>82</v>
      </c>
      <c r="D28" s="23" t="s">
        <v>88</v>
      </c>
      <c r="E28" s="24"/>
      <c r="F28" s="95">
        <f>+'Tabel Lampiran 4'!J24</f>
        <v>4366666.666666667</v>
      </c>
      <c r="G28" s="69">
        <f t="shared" si="1"/>
        <v>4366666.666666667</v>
      </c>
      <c r="H28" s="95">
        <f t="shared" si="1"/>
        <v>4366666.666666667</v>
      </c>
      <c r="I28" s="69">
        <f t="shared" si="1"/>
        <v>4366666.666666667</v>
      </c>
      <c r="J28" s="69">
        <f t="shared" si="1"/>
        <v>4366666.666666667</v>
      </c>
    </row>
    <row r="29" spans="2:10" x14ac:dyDescent="0.25">
      <c r="B29" s="21"/>
      <c r="C29" s="16" t="s">
        <v>83</v>
      </c>
      <c r="D29" s="54" t="s">
        <v>115</v>
      </c>
      <c r="E29" s="18"/>
      <c r="F29" s="69">
        <f>+F18</f>
        <v>1659000</v>
      </c>
      <c r="G29" s="69">
        <f>+G18</f>
        <v>1327200</v>
      </c>
      <c r="H29" s="69">
        <f>+H18</f>
        <v>995399.99999999988</v>
      </c>
      <c r="I29" s="69">
        <f>+I18</f>
        <v>663599.99999999988</v>
      </c>
      <c r="J29" s="69">
        <f>+J18</f>
        <v>331799.99999999988</v>
      </c>
    </row>
    <row r="30" spans="2:10" x14ac:dyDescent="0.25">
      <c r="B30" s="9"/>
      <c r="C30" s="22" t="s">
        <v>118</v>
      </c>
      <c r="D30" s="23"/>
      <c r="E30" s="24"/>
      <c r="F30" s="69">
        <f>SUM(F25:F29)</f>
        <v>20425666.666666668</v>
      </c>
      <c r="G30" s="69">
        <f t="shared" ref="G30:J30" si="2">SUM(G25:G29)</f>
        <v>20093866.666666668</v>
      </c>
      <c r="H30" s="69">
        <f t="shared" si="2"/>
        <v>19762066.666666668</v>
      </c>
      <c r="I30" s="69">
        <f t="shared" si="2"/>
        <v>19430266.666666668</v>
      </c>
      <c r="J30" s="69">
        <f t="shared" si="2"/>
        <v>19098466.666666668</v>
      </c>
    </row>
    <row r="31" spans="2:10" x14ac:dyDescent="0.25">
      <c r="B31" s="21" t="s">
        <v>30</v>
      </c>
      <c r="C31" s="16" t="s">
        <v>119</v>
      </c>
      <c r="D31" s="17"/>
      <c r="E31" s="18"/>
      <c r="F31" s="69">
        <f>+F23-F30</f>
        <v>4774333.3333333321</v>
      </c>
      <c r="G31" s="69">
        <f t="shared" ref="G31:J31" si="3">+G23-G30</f>
        <v>5106133.3333333321</v>
      </c>
      <c r="H31" s="69">
        <f t="shared" si="3"/>
        <v>5437933.3333333321</v>
      </c>
      <c r="I31" s="69">
        <f t="shared" si="3"/>
        <v>5769733.3333333321</v>
      </c>
      <c r="J31" s="69">
        <f t="shared" si="3"/>
        <v>6101533.3333333321</v>
      </c>
    </row>
    <row r="32" spans="2:10" x14ac:dyDescent="0.25">
      <c r="B32" s="55" t="s">
        <v>34</v>
      </c>
      <c r="C32" s="22" t="s">
        <v>177</v>
      </c>
      <c r="D32" s="23"/>
      <c r="E32" s="24"/>
      <c r="F32" s="104">
        <f>0.5/100*F23</f>
        <v>126000</v>
      </c>
      <c r="G32" s="104">
        <f t="shared" ref="G32:J32" si="4">0.5/100*G23</f>
        <v>126000</v>
      </c>
      <c r="H32" s="104">
        <f t="shared" si="4"/>
        <v>126000</v>
      </c>
      <c r="I32" s="104">
        <f t="shared" si="4"/>
        <v>126000</v>
      </c>
      <c r="J32" s="104">
        <f t="shared" si="4"/>
        <v>126000</v>
      </c>
    </row>
    <row r="33" spans="2:11" x14ac:dyDescent="0.25">
      <c r="B33" s="9" t="s">
        <v>35</v>
      </c>
      <c r="C33" s="22" t="s">
        <v>120</v>
      </c>
      <c r="D33" s="23"/>
      <c r="E33" s="24"/>
      <c r="F33" s="69">
        <f>+F31-F32</f>
        <v>4648333.3333333321</v>
      </c>
      <c r="G33" s="69">
        <f t="shared" ref="G33:J33" si="5">+G31-G32</f>
        <v>4980133.3333333321</v>
      </c>
      <c r="H33" s="69">
        <f t="shared" si="5"/>
        <v>5311933.3333333321</v>
      </c>
      <c r="I33" s="69">
        <f t="shared" si="5"/>
        <v>5643733.3333333321</v>
      </c>
      <c r="J33" s="69">
        <f t="shared" si="5"/>
        <v>5975533.3333333321</v>
      </c>
      <c r="K33" s="96" t="s">
        <v>13</v>
      </c>
    </row>
    <row r="34" spans="2:11" x14ac:dyDescent="0.25">
      <c r="B34" s="55" t="s">
        <v>37</v>
      </c>
      <c r="C34" s="22" t="s">
        <v>121</v>
      </c>
      <c r="D34" s="23"/>
      <c r="E34" s="24"/>
      <c r="F34" s="105">
        <f>+F33/F23*100</f>
        <v>18.445767195767189</v>
      </c>
      <c r="G34" s="105">
        <f t="shared" ref="G34:J34" si="6">+G33/G23*100</f>
        <v>19.762433862433856</v>
      </c>
      <c r="H34" s="105">
        <f t="shared" si="6"/>
        <v>21.079100529100526</v>
      </c>
      <c r="I34" s="105">
        <f t="shared" si="6"/>
        <v>22.395767195767192</v>
      </c>
      <c r="J34" s="105">
        <f t="shared" si="6"/>
        <v>23.712433862433858</v>
      </c>
    </row>
    <row r="35" spans="2:11" x14ac:dyDescent="0.25">
      <c r="B35" s="22" t="s">
        <v>13</v>
      </c>
      <c r="C35" s="150" t="s">
        <v>209</v>
      </c>
      <c r="D35" s="23"/>
      <c r="E35" s="24"/>
      <c r="F35" s="69">
        <f>SUM(F33:J33)/5</f>
        <v>5311933.3333333321</v>
      </c>
    </row>
    <row r="36" spans="2:11" x14ac:dyDescent="0.25">
      <c r="B36" s="22"/>
      <c r="C36" s="150" t="s">
        <v>210</v>
      </c>
      <c r="D36" s="23"/>
      <c r="E36" s="24"/>
      <c r="F36" s="151">
        <f>SUM(F34:J34)/5</f>
        <v>21.079100529100522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workbookViewId="0">
      <selection activeCell="I42" sqref="I42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10" width="13.54296875" customWidth="1"/>
    <col min="11" max="11" width="14.7265625" customWidth="1"/>
    <col min="12" max="12" width="14.81640625" customWidth="1"/>
  </cols>
  <sheetData>
    <row r="2" spans="2:12" ht="15" x14ac:dyDescent="0.25">
      <c r="B2" t="s">
        <v>122</v>
      </c>
    </row>
    <row r="3" spans="2:12" ht="15" x14ac:dyDescent="0.25">
      <c r="B3" s="4" t="s">
        <v>123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192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191</v>
      </c>
    </row>
    <row r="6" spans="2:12" ht="15" x14ac:dyDescent="0.25">
      <c r="B6" s="1" t="s">
        <v>183</v>
      </c>
      <c r="C6" s="1"/>
      <c r="D6" s="1"/>
      <c r="E6" s="4"/>
      <c r="F6" s="31" t="s">
        <v>12</v>
      </c>
      <c r="G6" t="s">
        <v>189</v>
      </c>
    </row>
    <row r="8" spans="2:12" ht="15" x14ac:dyDescent="0.25">
      <c r="B8" s="4" t="s">
        <v>123</v>
      </c>
      <c r="C8" s="4"/>
      <c r="D8" s="4"/>
      <c r="E8" s="4"/>
    </row>
    <row r="9" spans="2:12" ht="15" x14ac:dyDescent="0.25">
      <c r="B9" s="30" t="s">
        <v>94</v>
      </c>
      <c r="C9" s="162" t="s">
        <v>22</v>
      </c>
      <c r="D9" s="163"/>
      <c r="E9" s="163"/>
      <c r="F9" s="166"/>
      <c r="G9" s="28" t="s">
        <v>126</v>
      </c>
      <c r="H9" s="30" t="s">
        <v>108</v>
      </c>
      <c r="I9" s="30" t="s">
        <v>109</v>
      </c>
      <c r="J9" s="28" t="s">
        <v>110</v>
      </c>
      <c r="K9" s="30" t="s">
        <v>111</v>
      </c>
      <c r="L9" s="30" t="s">
        <v>112</v>
      </c>
    </row>
    <row r="10" spans="2:12" ht="15" x14ac:dyDescent="0.25">
      <c r="B10" s="110" t="s">
        <v>25</v>
      </c>
      <c r="C10" s="58" t="s">
        <v>124</v>
      </c>
      <c r="D10" s="111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125</v>
      </c>
      <c r="E11" s="23"/>
      <c r="F11" s="15"/>
      <c r="G11" s="14">
        <v>0</v>
      </c>
      <c r="H11" s="106">
        <f>+'Tabel Lampiran 7'!F23</f>
        <v>25200000</v>
      </c>
      <c r="I11" s="106">
        <f>+'Tabel Lampiran 7'!G23</f>
        <v>25200000</v>
      </c>
      <c r="J11" s="106">
        <f>+'Tabel Lampiran 7'!H23</f>
        <v>25200000</v>
      </c>
      <c r="K11" s="106">
        <f>+'Tabel Lampiran 7'!I23</f>
        <v>25200000</v>
      </c>
      <c r="L11" s="106">
        <f>+'Tabel Lampiran 7'!J23</f>
        <v>25200000</v>
      </c>
    </row>
    <row r="12" spans="2:12" ht="15" x14ac:dyDescent="0.25">
      <c r="B12" s="9"/>
      <c r="C12" s="22" t="s">
        <v>47</v>
      </c>
      <c r="D12" s="23" t="s">
        <v>174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100</v>
      </c>
      <c r="F13" s="18"/>
      <c r="G13" s="98">
        <f>+'Tabel Lampiran 7'!F13</f>
        <v>15749999.999999998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97</v>
      </c>
      <c r="F14" s="24"/>
      <c r="G14" s="95">
        <f>+'Tabel Lampiran 7'!F10</f>
        <v>840000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175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100</v>
      </c>
      <c r="F16" s="24"/>
      <c r="G16" s="95">
        <f>+'Tabel Lampiran 6'!I21</f>
        <v>360000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97</v>
      </c>
      <c r="F17" s="24"/>
      <c r="G17" s="69">
        <f>+'Tabel Lampiran 6'!I21</f>
        <v>360000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82</v>
      </c>
      <c r="D18" s="62" t="s">
        <v>127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128</v>
      </c>
      <c r="D19" s="36"/>
      <c r="E19" s="23"/>
      <c r="F19" s="24"/>
      <c r="G19" s="67">
        <f>SUM(G11:G18)</f>
        <v>17310000</v>
      </c>
      <c r="H19" s="67">
        <f t="shared" ref="H19:L19" si="0">SUM(H11:H18)</f>
        <v>25200000</v>
      </c>
      <c r="I19" s="67">
        <f t="shared" si="0"/>
        <v>25200000</v>
      </c>
      <c r="J19" s="67">
        <f t="shared" si="0"/>
        <v>25200000</v>
      </c>
      <c r="K19" s="67">
        <f t="shared" si="0"/>
        <v>25200000</v>
      </c>
      <c r="L19" s="67">
        <f t="shared" si="0"/>
        <v>25200000</v>
      </c>
    </row>
    <row r="20" spans="2:12" ht="15" x14ac:dyDescent="0.25">
      <c r="B20" s="9"/>
      <c r="C20" s="22" t="s">
        <v>129</v>
      </c>
      <c r="D20" s="36"/>
      <c r="E20" s="23"/>
      <c r="F20" s="24"/>
      <c r="G20" s="23">
        <v>0</v>
      </c>
      <c r="H20" s="69">
        <f>+H19</f>
        <v>25200000</v>
      </c>
      <c r="I20" s="69">
        <f t="shared" ref="I20:L20" si="1">+I19</f>
        <v>25200000</v>
      </c>
      <c r="J20" s="69">
        <f t="shared" si="1"/>
        <v>25200000</v>
      </c>
      <c r="K20" s="69">
        <f t="shared" si="1"/>
        <v>25200000</v>
      </c>
      <c r="L20" s="69">
        <f t="shared" si="1"/>
        <v>25200000</v>
      </c>
    </row>
    <row r="21" spans="2:12" ht="15" x14ac:dyDescent="0.25">
      <c r="B21" s="112" t="s">
        <v>28</v>
      </c>
      <c r="C21" s="56" t="s">
        <v>130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x14ac:dyDescent="0.35">
      <c r="B22" s="9"/>
      <c r="C22" s="22" t="s">
        <v>98</v>
      </c>
      <c r="D22" s="23" t="s">
        <v>100</v>
      </c>
      <c r="E22" s="23"/>
      <c r="F22" s="24"/>
      <c r="G22" s="95">
        <f>+'Tabel Lampiran 4'!H24</f>
        <v>22500000</v>
      </c>
      <c r="H22" s="19"/>
      <c r="I22" s="19"/>
      <c r="J22" s="23"/>
      <c r="K22" s="19"/>
      <c r="L22" s="19"/>
    </row>
    <row r="23" spans="2:12" x14ac:dyDescent="0.35">
      <c r="B23" s="21"/>
      <c r="C23" s="16" t="s">
        <v>47</v>
      </c>
      <c r="D23" s="17" t="s">
        <v>116</v>
      </c>
      <c r="F23" s="18"/>
      <c r="G23" s="17">
        <v>0</v>
      </c>
      <c r="H23" s="97">
        <f>+'Tabel Lampiran 7'!F25</f>
        <v>3600000</v>
      </c>
      <c r="I23" s="97">
        <f>+'Tabel Lampiran 7'!G25</f>
        <v>3600000</v>
      </c>
      <c r="J23" s="97">
        <f>+'Tabel Lampiran 7'!H25</f>
        <v>3600000</v>
      </c>
      <c r="K23" s="97">
        <f>+'Tabel Lampiran 7'!I25</f>
        <v>3600000</v>
      </c>
      <c r="L23" s="97">
        <f>+'Tabel Lampiran 7'!J25</f>
        <v>3600000</v>
      </c>
    </row>
    <row r="24" spans="2:12" x14ac:dyDescent="0.35">
      <c r="B24" s="9"/>
      <c r="C24" s="22" t="s">
        <v>48</v>
      </c>
      <c r="D24" s="23" t="s">
        <v>117</v>
      </c>
      <c r="E24" s="23"/>
      <c r="F24" s="24"/>
      <c r="G24" s="23">
        <v>0</v>
      </c>
      <c r="H24" s="69">
        <f>+'Tabel Lampiran 7'!F26</f>
        <v>6000000</v>
      </c>
      <c r="I24" s="69">
        <f>+'Tabel Lampiran 7'!G26</f>
        <v>6000000</v>
      </c>
      <c r="J24" s="69">
        <f>+'Tabel Lampiran 7'!H26</f>
        <v>6000000</v>
      </c>
      <c r="K24" s="69">
        <f>+'Tabel Lampiran 7'!I26</f>
        <v>6000000</v>
      </c>
      <c r="L24" s="69">
        <f>+'Tabel Lampiran 7'!J26</f>
        <v>6000000</v>
      </c>
    </row>
    <row r="25" spans="2:12" x14ac:dyDescent="0.35">
      <c r="B25" s="21"/>
      <c r="C25" s="16" t="s">
        <v>82</v>
      </c>
      <c r="D25" s="54" t="s">
        <v>131</v>
      </c>
      <c r="F25" s="18"/>
      <c r="G25" s="17">
        <v>0</v>
      </c>
      <c r="H25" s="97">
        <f>+'Tabel Lampiran 7'!F17</f>
        <v>3317999.9999999995</v>
      </c>
      <c r="I25" s="97">
        <f>+'Tabel Lampiran 7'!G17</f>
        <v>3317999.9999999995</v>
      </c>
      <c r="J25" s="97">
        <f>+'Tabel Lampiran 7'!H17</f>
        <v>3317999.9999999995</v>
      </c>
      <c r="K25" s="97">
        <f>+'Tabel Lampiran 7'!I17</f>
        <v>3317999.9999999995</v>
      </c>
      <c r="L25" s="97">
        <f>+'Tabel Lampiran 7'!J17</f>
        <v>3317999.9999999995</v>
      </c>
    </row>
    <row r="26" spans="2:12" x14ac:dyDescent="0.35">
      <c r="B26" s="9"/>
      <c r="C26" s="22" t="s">
        <v>83</v>
      </c>
      <c r="D26" s="63" t="s">
        <v>132</v>
      </c>
      <c r="E26" s="23"/>
      <c r="F26" s="24"/>
      <c r="G26" s="23">
        <v>0</v>
      </c>
      <c r="H26" s="69">
        <f>+'Tabel Lampiran 7'!F18</f>
        <v>1659000</v>
      </c>
      <c r="I26" s="69">
        <f>+'Tabel Lampiran 7'!G18</f>
        <v>1327200</v>
      </c>
      <c r="J26" s="69">
        <f>+'Tabel Lampiran 7'!H18</f>
        <v>995399.99999999988</v>
      </c>
      <c r="K26" s="69">
        <f>+'Tabel Lampiran 7'!I18</f>
        <v>663599.99999999988</v>
      </c>
      <c r="L26" s="69">
        <f>+'Tabel Lampiran 7'!J18</f>
        <v>331799.99999999988</v>
      </c>
    </row>
    <row r="27" spans="2:12" x14ac:dyDescent="0.35">
      <c r="B27" s="21"/>
      <c r="C27" s="16" t="s">
        <v>84</v>
      </c>
      <c r="D27" s="54" t="s">
        <v>133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35">
      <c r="B28" s="9"/>
      <c r="C28" s="22" t="s">
        <v>85</v>
      </c>
      <c r="D28" s="63" t="s">
        <v>134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x14ac:dyDescent="0.35">
      <c r="B29" s="21"/>
      <c r="C29" s="16" t="s">
        <v>135</v>
      </c>
      <c r="D29" s="54"/>
      <c r="F29" s="18"/>
      <c r="G29" s="69">
        <f>SUM(G22:G28)</f>
        <v>22500000</v>
      </c>
      <c r="H29" s="69">
        <f t="shared" ref="H29:L29" si="2">SUM(H22:H28)</f>
        <v>14577000</v>
      </c>
      <c r="I29" s="69">
        <f t="shared" si="2"/>
        <v>14245200</v>
      </c>
      <c r="J29" s="69">
        <f t="shared" si="2"/>
        <v>13913400</v>
      </c>
      <c r="K29" s="69">
        <f t="shared" si="2"/>
        <v>13581600</v>
      </c>
      <c r="L29" s="69">
        <f t="shared" si="2"/>
        <v>13249800</v>
      </c>
    </row>
    <row r="30" spans="2:12" x14ac:dyDescent="0.35">
      <c r="B30" s="9"/>
      <c r="C30" s="22" t="s">
        <v>176</v>
      </c>
      <c r="D30" s="36"/>
      <c r="E30" s="23"/>
      <c r="F30" s="24"/>
      <c r="G30" s="95">
        <f>+G29</f>
        <v>22500000</v>
      </c>
      <c r="H30" s="69">
        <f>+H23+H24</f>
        <v>9600000</v>
      </c>
      <c r="I30" s="69">
        <f t="shared" ref="I30:L30" si="3">+I23+I24</f>
        <v>9600000</v>
      </c>
      <c r="J30" s="69">
        <f t="shared" si="3"/>
        <v>9600000</v>
      </c>
      <c r="K30" s="69">
        <f t="shared" si="3"/>
        <v>9600000</v>
      </c>
      <c r="L30" s="69">
        <f t="shared" si="3"/>
        <v>9600000</v>
      </c>
    </row>
    <row r="31" spans="2:12" x14ac:dyDescent="0.35">
      <c r="B31" s="9"/>
      <c r="C31" s="33" t="s">
        <v>136</v>
      </c>
      <c r="D31" s="23"/>
      <c r="F31" s="24"/>
      <c r="G31" s="23"/>
      <c r="H31" s="19"/>
      <c r="I31" s="19"/>
      <c r="J31" s="23"/>
      <c r="K31" s="19"/>
      <c r="L31" s="19"/>
    </row>
    <row r="32" spans="2:12" x14ac:dyDescent="0.35">
      <c r="B32" s="113" t="s">
        <v>30</v>
      </c>
      <c r="C32" s="49" t="s">
        <v>137</v>
      </c>
      <c r="D32" s="50"/>
      <c r="E32" s="50"/>
      <c r="F32" s="24"/>
      <c r="G32" s="69">
        <f>+G19-G29</f>
        <v>-5190000</v>
      </c>
      <c r="H32" s="69">
        <f t="shared" ref="H32:L32" si="4">+H19-H29</f>
        <v>10623000</v>
      </c>
      <c r="I32" s="69">
        <f t="shared" si="4"/>
        <v>10954800</v>
      </c>
      <c r="J32" s="69">
        <f t="shared" si="4"/>
        <v>11286600</v>
      </c>
      <c r="K32" s="69">
        <f t="shared" si="4"/>
        <v>11618400</v>
      </c>
      <c r="L32" s="69">
        <f t="shared" si="4"/>
        <v>11950200</v>
      </c>
    </row>
    <row r="33" spans="2:12" x14ac:dyDescent="0.35">
      <c r="B33" s="55"/>
      <c r="C33" s="22" t="s">
        <v>138</v>
      </c>
      <c r="D33" s="23"/>
      <c r="E33" s="23"/>
      <c r="F33" s="24"/>
      <c r="G33" s="95">
        <f>+G20-G30</f>
        <v>-22500000</v>
      </c>
      <c r="H33" s="69">
        <f>+H20-H30</f>
        <v>15600000</v>
      </c>
      <c r="I33" s="69">
        <f t="shared" ref="I33:L33" si="5">+I20-I30</f>
        <v>15600000</v>
      </c>
      <c r="J33" s="69">
        <f t="shared" si="5"/>
        <v>15600000</v>
      </c>
      <c r="K33" s="69">
        <f t="shared" si="5"/>
        <v>15600000</v>
      </c>
      <c r="L33" s="69">
        <f t="shared" si="5"/>
        <v>15600000</v>
      </c>
    </row>
    <row r="34" spans="2:12" x14ac:dyDescent="0.35">
      <c r="B34" s="55"/>
      <c r="C34" s="22" t="s">
        <v>139</v>
      </c>
      <c r="D34" s="23"/>
      <c r="E34" s="23"/>
      <c r="F34" s="24"/>
      <c r="G34" s="107">
        <f>1/(1+0.1)^0</f>
        <v>1</v>
      </c>
      <c r="H34" s="107">
        <f>1/(1+0.1)^1</f>
        <v>0.90909090909090906</v>
      </c>
      <c r="I34" s="107">
        <f>1/(1+0.1)^2</f>
        <v>0.82644628099173545</v>
      </c>
      <c r="J34" s="107">
        <f>1/(1+0.1)^3</f>
        <v>0.75131480090157754</v>
      </c>
      <c r="K34" s="107">
        <f>1/(1+0.1)^4</f>
        <v>0.68301345536507052</v>
      </c>
      <c r="L34" s="107">
        <f>1/(1+0.1)^5</f>
        <v>0.62092132305915493</v>
      </c>
    </row>
    <row r="35" spans="2:12" x14ac:dyDescent="0.35">
      <c r="B35" s="55"/>
      <c r="C35" s="22" t="s">
        <v>140</v>
      </c>
      <c r="D35" s="23"/>
      <c r="E35" s="23"/>
      <c r="F35" s="24"/>
      <c r="G35" s="69">
        <f>+G34*G33</f>
        <v>-22500000</v>
      </c>
      <c r="H35" s="69">
        <f t="shared" ref="H35:L35" si="6">+H34*H33</f>
        <v>14181818.181818182</v>
      </c>
      <c r="I35" s="69">
        <f t="shared" si="6"/>
        <v>12892561.983471073</v>
      </c>
      <c r="J35" s="69">
        <f t="shared" si="6"/>
        <v>11720510.894064609</v>
      </c>
      <c r="K35" s="69">
        <f t="shared" si="6"/>
        <v>10655009.903695101</v>
      </c>
      <c r="L35" s="69">
        <f t="shared" si="6"/>
        <v>9686372.6397228166</v>
      </c>
    </row>
    <row r="36" spans="2:12" x14ac:dyDescent="0.35">
      <c r="B36" s="113" t="s">
        <v>34</v>
      </c>
      <c r="C36" s="49" t="s">
        <v>141</v>
      </c>
      <c r="D36" s="50"/>
      <c r="E36" s="50"/>
      <c r="F36" s="24"/>
      <c r="G36" s="95">
        <f>+G35</f>
        <v>-22500000</v>
      </c>
      <c r="H36" s="69">
        <f>+G36+H35</f>
        <v>-8318181.8181818184</v>
      </c>
      <c r="I36" s="69">
        <f>+H36+I35</f>
        <v>4574380.1652892549</v>
      </c>
      <c r="J36" s="69">
        <f t="shared" ref="J36:L36" si="7">+I36+J35</f>
        <v>16294891.059353864</v>
      </c>
      <c r="K36" s="69">
        <f t="shared" si="7"/>
        <v>26949900.963048965</v>
      </c>
      <c r="L36" s="69">
        <f t="shared" si="7"/>
        <v>36636273.602771781</v>
      </c>
    </row>
    <row r="37" spans="2:12" x14ac:dyDescent="0.35">
      <c r="B37" s="116"/>
      <c r="C37" s="59"/>
      <c r="D37" s="59"/>
      <c r="E37" s="59"/>
      <c r="F37" s="15"/>
      <c r="G37" s="115"/>
      <c r="H37" s="98"/>
      <c r="I37" s="98"/>
      <c r="J37" s="98"/>
      <c r="K37" s="98"/>
      <c r="L37" s="98"/>
    </row>
    <row r="38" spans="2:12" x14ac:dyDescent="0.35">
      <c r="B38" s="117" t="s">
        <v>178</v>
      </c>
      <c r="C38" s="44"/>
      <c r="D38" s="44"/>
      <c r="E38" s="44"/>
      <c r="F38" s="32"/>
      <c r="G38" s="114"/>
      <c r="H38" s="98"/>
      <c r="I38" s="98"/>
      <c r="J38" s="98"/>
      <c r="K38" s="98"/>
      <c r="L38" s="98"/>
    </row>
    <row r="39" spans="2:12" x14ac:dyDescent="0.35">
      <c r="B39" s="53" t="s">
        <v>43</v>
      </c>
      <c r="C39" s="17" t="s">
        <v>142</v>
      </c>
      <c r="D39" s="17"/>
      <c r="E39" s="23"/>
      <c r="F39" s="18"/>
      <c r="G39" s="69">
        <f>+L36</f>
        <v>36636273.602771781</v>
      </c>
      <c r="H39" s="17"/>
      <c r="I39" s="17"/>
      <c r="J39" s="17"/>
      <c r="K39" s="17"/>
      <c r="L39" s="17"/>
    </row>
    <row r="40" spans="2:12" x14ac:dyDescent="0.35">
      <c r="B40" s="9" t="s">
        <v>47</v>
      </c>
      <c r="C40" s="61" t="s">
        <v>143</v>
      </c>
      <c r="D40" s="23"/>
      <c r="E40" s="23"/>
      <c r="F40" s="24"/>
      <c r="G40" s="108">
        <f>IRR(G33:L33,0.1)</f>
        <v>0.63376857421508448</v>
      </c>
      <c r="H40" s="17"/>
      <c r="I40" s="17"/>
      <c r="J40" s="17"/>
      <c r="K40" s="17"/>
      <c r="L40" s="17"/>
    </row>
    <row r="41" spans="2:12" x14ac:dyDescent="0.35">
      <c r="B41" s="21" t="s">
        <v>48</v>
      </c>
      <c r="C41" s="17" t="s">
        <v>144</v>
      </c>
      <c r="D41" s="17"/>
      <c r="E41" s="23"/>
      <c r="F41" s="18"/>
      <c r="G41" s="107">
        <f>SUM(G19:L19)/SUM(G29:L29)</f>
        <v>1.5565837922382613</v>
      </c>
      <c r="H41" s="17"/>
      <c r="I41" s="17"/>
      <c r="J41" s="17"/>
      <c r="K41" s="17"/>
      <c r="L41" s="17"/>
    </row>
    <row r="42" spans="2:12" x14ac:dyDescent="0.35">
      <c r="B42" s="9" t="s">
        <v>82</v>
      </c>
      <c r="C42" s="23" t="s">
        <v>145</v>
      </c>
      <c r="D42" s="23"/>
      <c r="E42" s="23"/>
      <c r="F42" s="24"/>
      <c r="G42" s="19">
        <v>5</v>
      </c>
      <c r="H42" s="17"/>
      <c r="I42" s="17"/>
      <c r="J42" s="17"/>
      <c r="K42" s="17"/>
      <c r="L42" s="17"/>
    </row>
    <row r="43" spans="2:12" x14ac:dyDescent="0.35">
      <c r="C43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2025-10-30T06:20:23Z</dcterms:modified>
</cp:coreProperties>
</file>